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Estados Financieros/"/>
    </mc:Choice>
  </mc:AlternateContent>
  <xr:revisionPtr revIDLastSave="1146" documentId="8_{E51FE720-22BD-4BAB-855C-550FC17DC3C7}" xr6:coauthVersionLast="47" xr6:coauthVersionMax="47" xr10:uidLastSave="{F662D2FF-48AC-4F32-8F79-BD254985FAC1}"/>
  <bookViews>
    <workbookView xWindow="4080" yWindow="2100" windowWidth="24135" windowHeight="13200" tabRatio="840" activeTab="4" xr2:uid="{00000000-000D-0000-FFFF-FFFF00000000}"/>
  </bookViews>
  <sheets>
    <sheet name="Estado Situación" sheetId="2" r:id="rId1"/>
    <sheet name="Estado de Resultados" sheetId="1" r:id="rId2"/>
    <sheet name="A-SITUACION ANEXOS" sheetId="19" r:id="rId3"/>
    <sheet name="NOTA 14-CAPITAL" sheetId="16" r:id="rId4"/>
    <sheet name="A-RESULTADOS ANEXOS" sheetId="34" r:id="rId5"/>
    <sheet name="Cédula Nota 1" sheetId="31" state="hidden" r:id="rId6"/>
    <sheet name="Cédula Nota 2 " sheetId="26" state="hidden" r:id="rId7"/>
    <sheet name="Nota 3 Resumen" sheetId="40" state="hidden" r:id="rId8"/>
    <sheet name="NOTA 3-C-CONST " sheetId="7" state="hidden" r:id="rId9"/>
    <sheet name="NOTA 3-ANTIC COMP Y OTRAS" sheetId="13" state="hidden" r:id="rId10"/>
    <sheet name="NOTA 3-Intereses" sheetId="45" state="hidden" r:id="rId11"/>
    <sheet name="Nota 3 CxC Emplead" sheetId="41" state="hidden" r:id="rId12"/>
    <sheet name="NOTA 3-C X C" sheetId="22" state="hidden" r:id="rId13"/>
    <sheet name="NOTA 4  INVENTARIO" sheetId="37" state="hidden" r:id="rId14"/>
    <sheet name="NOTA 5  GPA" sheetId="39" state="hidden" r:id="rId15"/>
    <sheet name="NOTA 5-SEG PAG X ANT" sheetId="23" state="hidden" r:id="rId16"/>
    <sheet name="NOTA 5 - LIC MS 365 AMORTIZ" sheetId="38" state="hidden" r:id="rId17"/>
    <sheet name="NOTA 5 LIC ALDABA LINKEDIN" sheetId="55" state="hidden" r:id="rId18"/>
    <sheet name="NOTA 5 LICENCIAS JIRA" sheetId="46" state="hidden" r:id="rId19"/>
    <sheet name="NOTA 5 LIC ANTIDESASTRES" sheetId="54" state="hidden" r:id="rId20"/>
    <sheet name="NOTA 5 Licencias Adobe" sheetId="47" state="hidden" r:id="rId21"/>
    <sheet name="NOTA 5 Lic Vincent IA" sheetId="56" state="hidden" r:id="rId22"/>
    <sheet name="NOTA 6-DIVIDENDOS" sheetId="32" state="hidden" r:id="rId23"/>
    <sheet name="NOTA 7-AVANCES A FUTURAS CAPIT" sheetId="51" state="hidden" r:id="rId24"/>
    <sheet name="Tabacalera" sheetId="53" state="hidden" r:id="rId25"/>
    <sheet name="NOTA 8-MOBILIARIO Y EQUIPOS, NE" sheetId="29" state="hidden" r:id="rId26"/>
    <sheet name="NOTA 9-CEDULAS CxP PROVEEDORES " sheetId="25" state="hidden" r:id="rId27"/>
    <sheet name="NOTA 10-CEDULAS CxP CONTRATISTA" sheetId="52" state="hidden" r:id="rId28"/>
    <sheet name="NOTA 11-GASTOS PERSONAL X PAGAR" sheetId="35" state="hidden" r:id="rId29"/>
    <sheet name="NOTA 11-BONIFICACION" sheetId="42" state="hidden" r:id="rId30"/>
    <sheet name="NOTA 11-REGALIA" sheetId="36" state="hidden" r:id="rId31"/>
    <sheet name="NOTA 11-VACACIONES" sheetId="44" state="hidden" r:id="rId32"/>
    <sheet name="NOTA 12-RETENCIONES X PAGAR" sheetId="50" state="hidden" r:id="rId33"/>
    <sheet name="NOTA 13-OTRAS CXP" sheetId="30" state="hidden" r:id="rId34"/>
    <sheet name="Hoja5" sheetId="20" state="hidden" r:id="rId35"/>
  </sheets>
  <externalReferences>
    <externalReference r:id="rId36"/>
  </externalReferences>
  <definedNames>
    <definedName name="_xlnm.Print_Area" localSheetId="4">'A-RESULTADOS ANEXOS'!$A$1:$F$128</definedName>
    <definedName name="_xlnm.Print_Area" localSheetId="2">'A-SITUACION ANEXOS'!$A$1:$F$175</definedName>
    <definedName name="_xlnm.Print_Area" localSheetId="5">'Cédula Nota 1'!$A$1:$E$16</definedName>
    <definedName name="_xlnm.Print_Area" localSheetId="6">'Cédula Nota 2 '!$A$1:$E$22</definedName>
    <definedName name="_xlnm.Print_Area" localSheetId="1">'Estado de Resultados'!$A$1:$E$52</definedName>
    <definedName name="_xlnm.Print_Area" localSheetId="0">'Estado Situación'!$A$1:$E$66</definedName>
    <definedName name="_xlnm.Print_Area" localSheetId="27">'NOTA 10-CEDULAS CxP CONTRATISTA'!$A$1:$C$56</definedName>
    <definedName name="_xlnm.Print_Area" localSheetId="29">'NOTA 11-BONIFICACION'!$A$1:$D$40</definedName>
    <definedName name="_xlnm.Print_Area" localSheetId="28">'NOTA 11-GASTOS PERSONAL X PAGAR'!$A$1:$B$46</definedName>
    <definedName name="_xlnm.Print_Area" localSheetId="31">'NOTA 11-VACACIONES'!$A$1:$Y$106</definedName>
    <definedName name="_xlnm.Print_Area" localSheetId="32">'NOTA 12-RETENCIONES X PAGAR'!$A$1:$B$44</definedName>
    <definedName name="_xlnm.Print_Area" localSheetId="33">'NOTA 13-OTRAS CXP'!$A$1:$B$14</definedName>
    <definedName name="_xlnm.Print_Area" localSheetId="3">'NOTA 14-CAPITAL'!$A$1:$H$27</definedName>
    <definedName name="_xlnm.Print_Area" localSheetId="9">'NOTA 3-ANTIC COMP Y OTRAS'!$B$1:$F$19</definedName>
    <definedName name="_xlnm.Print_Area" localSheetId="12">'NOTA 3-C X C'!$B$1:$C$17</definedName>
    <definedName name="_xlnm.Print_Area" localSheetId="8">'NOTA 3-C-CONST '!$A$1:$F$32</definedName>
    <definedName name="_xlnm.Print_Area" localSheetId="13">'NOTA 4  INVENTARIO'!$A$1:$C$31</definedName>
    <definedName name="_xlnm.Print_Area" localSheetId="14">'NOTA 5  GPA'!$A$1:$D$23</definedName>
    <definedName name="_xlnm.Print_Area" localSheetId="16">'NOTA 5 - LIC MS 365 AMORTIZ'!$A$1:$F$44</definedName>
    <definedName name="_xlnm.Print_Area" localSheetId="23">'NOTA 7-AVANCES A FUTURAS CAPIT'!$A$1:$C$87</definedName>
    <definedName name="_xlnm.Print_Area" localSheetId="25">'NOTA 8-MOBILIARIO Y EQUIPOS, NE'!$A$1:$J$26</definedName>
    <definedName name="_xlnm.Print_Area" localSheetId="26">'NOTA 9-CEDULAS CxP PROVEEDORES '!$A$1:$C$124</definedName>
    <definedName name="_xlnm.Print_Titles" localSheetId="4">'A-RESULTADOS ANEXOS'!$1:$8</definedName>
    <definedName name="_xlnm.Print_Titles" localSheetId="2">'A-SITUACION ANEXOS'!$1:$9</definedName>
    <definedName name="_xlnm.Print_Titles" localSheetId="31">'NOTA 11-VACACIONES'!$1:$3</definedName>
    <definedName name="_xlnm.Print_Titles" localSheetId="8">'NOTA 3-C-CONST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1" l="1"/>
  <c r="H9" i="41"/>
  <c r="E147" i="19"/>
  <c r="F147" i="19"/>
  <c r="D147" i="19"/>
  <c r="D64" i="34"/>
  <c r="C98" i="25"/>
  <c r="C15" i="25"/>
  <c r="C70" i="51" l="1"/>
  <c r="C55" i="51"/>
  <c r="C49" i="51"/>
  <c r="B13" i="51" s="1"/>
  <c r="C35" i="2"/>
  <c r="E18" i="13"/>
  <c r="A37" i="35"/>
  <c r="B49" i="52"/>
  <c r="B36" i="52"/>
  <c r="C12" i="25"/>
  <c r="D56" i="34"/>
  <c r="D55" i="34"/>
  <c r="C56" i="52"/>
  <c r="C54" i="52"/>
  <c r="C99" i="25"/>
  <c r="B53" i="25" l="1"/>
  <c r="C58" i="25"/>
  <c r="D145" i="19"/>
  <c r="F116" i="34" l="1"/>
  <c r="C12" i="52"/>
  <c r="F30" i="7"/>
  <c r="D31" i="7"/>
  <c r="C11" i="41"/>
  <c r="G11" i="41" l="1"/>
  <c r="F11" i="41"/>
  <c r="H10" i="41"/>
  <c r="C15" i="39"/>
  <c r="V105" i="44"/>
  <c r="D36" i="42"/>
  <c r="F33" i="38" l="1"/>
  <c r="H97" i="44" l="1"/>
  <c r="U97" i="44" s="1"/>
  <c r="F97" i="44"/>
  <c r="H96" i="44"/>
  <c r="U96" i="44" s="1"/>
  <c r="F96" i="44"/>
  <c r="H95" i="44"/>
  <c r="U95" i="44" s="1"/>
  <c r="V95" i="44" s="1"/>
  <c r="F95" i="44"/>
  <c r="H94" i="44"/>
  <c r="U94" i="44" s="1"/>
  <c r="F94" i="44"/>
  <c r="H93" i="44"/>
  <c r="U93" i="44" s="1"/>
  <c r="V93" i="44" s="1"/>
  <c r="F93" i="44"/>
  <c r="H92" i="44"/>
  <c r="U92" i="44" s="1"/>
  <c r="V92" i="44" s="1"/>
  <c r="F92" i="44"/>
  <c r="H91" i="44"/>
  <c r="U91" i="44" s="1"/>
  <c r="F91" i="44"/>
  <c r="U90" i="44"/>
  <c r="H90" i="44"/>
  <c r="F90" i="44"/>
  <c r="H89" i="44"/>
  <c r="U89" i="44" s="1"/>
  <c r="F89" i="44"/>
  <c r="H88" i="44"/>
  <c r="U88" i="44" s="1"/>
  <c r="F88" i="44"/>
  <c r="H87" i="44"/>
  <c r="U87" i="44" s="1"/>
  <c r="F87" i="44"/>
  <c r="H86" i="44"/>
  <c r="U86" i="44" s="1"/>
  <c r="F86" i="44"/>
  <c r="H85" i="44"/>
  <c r="U85" i="44" s="1"/>
  <c r="V85" i="44" s="1"/>
  <c r="F85" i="44"/>
  <c r="H84" i="44"/>
  <c r="U84" i="44" s="1"/>
  <c r="F84" i="44"/>
  <c r="H83" i="44"/>
  <c r="U83" i="44" s="1"/>
  <c r="F83" i="44"/>
  <c r="H82" i="44"/>
  <c r="U82" i="44" s="1"/>
  <c r="F82" i="44"/>
  <c r="H81" i="44"/>
  <c r="U81" i="44" s="1"/>
  <c r="F81" i="44"/>
  <c r="H80" i="44"/>
  <c r="U80" i="44" s="1"/>
  <c r="V80" i="44" s="1"/>
  <c r="F80" i="44"/>
  <c r="H79" i="44"/>
  <c r="U79" i="44" s="1"/>
  <c r="F79" i="44"/>
  <c r="H78" i="44"/>
  <c r="U78" i="44" s="1"/>
  <c r="V78" i="44" s="1"/>
  <c r="F78" i="44"/>
  <c r="H77" i="44"/>
  <c r="U77" i="44" s="1"/>
  <c r="F77" i="44"/>
  <c r="H76" i="44"/>
  <c r="U76" i="44" s="1"/>
  <c r="F76" i="44"/>
  <c r="H75" i="44"/>
  <c r="U75" i="44" s="1"/>
  <c r="F75" i="44"/>
  <c r="U74" i="44"/>
  <c r="H74" i="44"/>
  <c r="F74" i="44"/>
  <c r="H73" i="44"/>
  <c r="U73" i="44" s="1"/>
  <c r="F73" i="44"/>
  <c r="H72" i="44"/>
  <c r="U72" i="44" s="1"/>
  <c r="F72" i="44"/>
  <c r="H71" i="44"/>
  <c r="U71" i="44" s="1"/>
  <c r="F71" i="44"/>
  <c r="H70" i="44"/>
  <c r="U70" i="44" s="1"/>
  <c r="V70" i="44" s="1"/>
  <c r="F70" i="44"/>
  <c r="U69" i="44"/>
  <c r="V69" i="44" s="1"/>
  <c r="H69" i="44"/>
  <c r="F69" i="44"/>
  <c r="H68" i="44"/>
  <c r="U68" i="44" s="1"/>
  <c r="V68" i="44" s="1"/>
  <c r="F68" i="44"/>
  <c r="H67" i="44"/>
  <c r="U67" i="44" s="1"/>
  <c r="F67" i="44"/>
  <c r="H66" i="44"/>
  <c r="U66" i="44" s="1"/>
  <c r="F66" i="44"/>
  <c r="H65" i="44"/>
  <c r="U65" i="44" s="1"/>
  <c r="F65" i="44"/>
  <c r="H64" i="44"/>
  <c r="U64" i="44" s="1"/>
  <c r="F64" i="44"/>
  <c r="H63" i="44"/>
  <c r="U63" i="44" s="1"/>
  <c r="V63" i="44" s="1"/>
  <c r="F63" i="44"/>
  <c r="H62" i="44"/>
  <c r="U62" i="44" s="1"/>
  <c r="F62" i="44"/>
  <c r="H61" i="44"/>
  <c r="U61" i="44" s="1"/>
  <c r="F61" i="44"/>
  <c r="H60" i="44"/>
  <c r="U60" i="44" s="1"/>
  <c r="V60" i="44" s="1"/>
  <c r="F60" i="44"/>
  <c r="H59" i="44"/>
  <c r="U59" i="44" s="1"/>
  <c r="F59" i="44"/>
  <c r="H58" i="44"/>
  <c r="U58" i="44" s="1"/>
  <c r="F58" i="44"/>
  <c r="H57" i="44"/>
  <c r="U57" i="44" s="1"/>
  <c r="F57" i="44"/>
  <c r="H56" i="44"/>
  <c r="U56" i="44" s="1"/>
  <c r="F56" i="44"/>
  <c r="H55" i="44"/>
  <c r="U55" i="44" s="1"/>
  <c r="F55" i="44"/>
  <c r="H54" i="44"/>
  <c r="U54" i="44" s="1"/>
  <c r="V54" i="44" s="1"/>
  <c r="F54" i="44"/>
  <c r="U53" i="44"/>
  <c r="H53" i="44"/>
  <c r="F53" i="44"/>
  <c r="H52" i="44"/>
  <c r="U52" i="44" s="1"/>
  <c r="F52" i="44"/>
  <c r="U51" i="44"/>
  <c r="H51" i="44"/>
  <c r="F51" i="44"/>
  <c r="H50" i="44"/>
  <c r="U50" i="44" s="1"/>
  <c r="F50" i="44"/>
  <c r="H49" i="44"/>
  <c r="U49" i="44" s="1"/>
  <c r="F49" i="44"/>
  <c r="H48" i="44"/>
  <c r="U48" i="44" s="1"/>
  <c r="F48" i="44"/>
  <c r="H47" i="44"/>
  <c r="U47" i="44" s="1"/>
  <c r="V47" i="44" s="1"/>
  <c r="F47" i="44"/>
  <c r="U46" i="44"/>
  <c r="H46" i="44"/>
  <c r="F46" i="44"/>
  <c r="H45" i="44"/>
  <c r="U45" i="44" s="1"/>
  <c r="F45" i="44"/>
  <c r="U44" i="44"/>
  <c r="V44" i="44" s="1"/>
  <c r="H44" i="44"/>
  <c r="F44" i="44"/>
  <c r="H43" i="44"/>
  <c r="U43" i="44" s="1"/>
  <c r="F43" i="44"/>
  <c r="U42" i="44"/>
  <c r="H42" i="44"/>
  <c r="F42" i="44"/>
  <c r="H41" i="44"/>
  <c r="U41" i="44" s="1"/>
  <c r="F41" i="44"/>
  <c r="H40" i="44"/>
  <c r="U40" i="44" s="1"/>
  <c r="F40" i="44"/>
  <c r="H39" i="44"/>
  <c r="U39" i="44" s="1"/>
  <c r="F39" i="44"/>
  <c r="H38" i="44"/>
  <c r="U38" i="44" s="1"/>
  <c r="V38" i="44" s="1"/>
  <c r="F38" i="44"/>
  <c r="H37" i="44"/>
  <c r="U37" i="44" s="1"/>
  <c r="V37" i="44" s="1"/>
  <c r="F37" i="44"/>
  <c r="H36" i="44"/>
  <c r="U36" i="44" s="1"/>
  <c r="F36" i="44"/>
  <c r="H35" i="44"/>
  <c r="U35" i="44" s="1"/>
  <c r="F35" i="44"/>
  <c r="U34" i="44"/>
  <c r="H34" i="44"/>
  <c r="F34" i="44"/>
  <c r="H33" i="44"/>
  <c r="U33" i="44" s="1"/>
  <c r="F33" i="44"/>
  <c r="H32" i="44"/>
  <c r="U32" i="44" s="1"/>
  <c r="F32" i="44"/>
  <c r="H31" i="44"/>
  <c r="U31" i="44" s="1"/>
  <c r="F31" i="44"/>
  <c r="H30" i="44"/>
  <c r="U30" i="44" s="1"/>
  <c r="F30" i="44"/>
  <c r="H29" i="44"/>
  <c r="U29" i="44" s="1"/>
  <c r="V29" i="44" s="1"/>
  <c r="F29" i="44"/>
  <c r="U28" i="44"/>
  <c r="H28" i="44"/>
  <c r="F28" i="44"/>
  <c r="H27" i="44"/>
  <c r="U27" i="44" s="1"/>
  <c r="F27" i="44"/>
  <c r="U26" i="44"/>
  <c r="V26" i="44" s="1"/>
  <c r="H26" i="44"/>
  <c r="F26" i="44"/>
  <c r="H25" i="44"/>
  <c r="U25" i="44" s="1"/>
  <c r="F25" i="44"/>
  <c r="H24" i="44"/>
  <c r="U24" i="44" s="1"/>
  <c r="V24" i="44" s="1"/>
  <c r="F24" i="44"/>
  <c r="H23" i="44"/>
  <c r="U23" i="44" s="1"/>
  <c r="F23" i="44"/>
  <c r="H22" i="44"/>
  <c r="U22" i="44" s="1"/>
  <c r="V22" i="44" s="1"/>
  <c r="F22" i="44"/>
  <c r="H21" i="44"/>
  <c r="U21" i="44" s="1"/>
  <c r="V21" i="44" s="1"/>
  <c r="F21" i="44"/>
  <c r="H20" i="44"/>
  <c r="U20" i="44" s="1"/>
  <c r="V20" i="44" s="1"/>
  <c r="F20" i="44"/>
  <c r="H19" i="44"/>
  <c r="U19" i="44" s="1"/>
  <c r="F19" i="44"/>
  <c r="U18" i="44"/>
  <c r="H18" i="44"/>
  <c r="F18" i="44"/>
  <c r="H17" i="44"/>
  <c r="U17" i="44" s="1"/>
  <c r="F17" i="44"/>
  <c r="H16" i="44"/>
  <c r="U16" i="44" s="1"/>
  <c r="F16" i="44"/>
  <c r="H15" i="44"/>
  <c r="U15" i="44" s="1"/>
  <c r="F15" i="44"/>
  <c r="H14" i="44"/>
  <c r="U14" i="44" s="1"/>
  <c r="F14" i="44"/>
  <c r="H13" i="44"/>
  <c r="U13" i="44" s="1"/>
  <c r="V13" i="44" s="1"/>
  <c r="F13" i="44"/>
  <c r="H12" i="44"/>
  <c r="U12" i="44" s="1"/>
  <c r="V12" i="44" s="1"/>
  <c r="F12" i="44"/>
  <c r="H11" i="44"/>
  <c r="U11" i="44" s="1"/>
  <c r="F11" i="44"/>
  <c r="U10" i="44"/>
  <c r="V10" i="44" s="1"/>
  <c r="H10" i="44"/>
  <c r="F10" i="44"/>
  <c r="H9" i="44"/>
  <c r="U9" i="44" s="1"/>
  <c r="F9" i="44"/>
  <c r="H8" i="44"/>
  <c r="U8" i="44" s="1"/>
  <c r="F8" i="44"/>
  <c r="V30" i="44" l="1"/>
  <c r="V48" i="44"/>
  <c r="V77" i="44"/>
  <c r="V84" i="44"/>
  <c r="V88" i="44"/>
  <c r="V34" i="44"/>
  <c r="V45" i="44"/>
  <c r="V52" i="44"/>
  <c r="V81" i="44"/>
  <c r="V46" i="44"/>
  <c r="V86" i="44"/>
  <c r="V8" i="44"/>
  <c r="V36" i="44"/>
  <c r="V61" i="44"/>
  <c r="V18" i="44"/>
  <c r="V65" i="44"/>
  <c r="V76" i="44"/>
  <c r="V9" i="44"/>
  <c r="V15" i="44"/>
  <c r="V25" i="44"/>
  <c r="V31" i="44"/>
  <c r="V41" i="44"/>
  <c r="V56" i="44"/>
  <c r="V71" i="44"/>
  <c r="V28" i="44"/>
  <c r="V53" i="44"/>
  <c r="V62" i="44"/>
  <c r="V16" i="44"/>
  <c r="V32" i="44"/>
  <c r="V57" i="44"/>
  <c r="V72" i="44"/>
  <c r="V87" i="44"/>
  <c r="V23" i="44"/>
  <c r="V33" i="44"/>
  <c r="V39" i="44"/>
  <c r="V73" i="44"/>
  <c r="V17" i="44"/>
  <c r="V49" i="44"/>
  <c r="V64" i="44"/>
  <c r="V79" i="44"/>
  <c r="V14" i="44"/>
  <c r="V40" i="44"/>
  <c r="V55" i="44"/>
  <c r="V89" i="44"/>
  <c r="V42" i="44"/>
  <c r="V50" i="44"/>
  <c r="V58" i="44"/>
  <c r="V66" i="44"/>
  <c r="V74" i="44"/>
  <c r="V82" i="44"/>
  <c r="V90" i="44"/>
  <c r="V94" i="44"/>
  <c r="V97" i="44"/>
  <c r="V11" i="44"/>
  <c r="V19" i="44"/>
  <c r="V27" i="44"/>
  <c r="V35" i="44"/>
  <c r="V43" i="44"/>
  <c r="V51" i="44"/>
  <c r="V59" i="44"/>
  <c r="V67" i="44"/>
  <c r="V75" i="44"/>
  <c r="V83" i="44"/>
  <c r="V91" i="44"/>
  <c r="V96" i="44"/>
  <c r="V99" i="44" l="1"/>
  <c r="V101" i="44" s="1"/>
  <c r="B35" i="25"/>
  <c r="B70" i="25"/>
  <c r="B84" i="25"/>
  <c r="B95" i="25"/>
  <c r="B118" i="25"/>
  <c r="D16" i="1" l="1"/>
  <c r="D15" i="1"/>
  <c r="D14" i="1"/>
  <c r="C121" i="25" l="1"/>
  <c r="H17" i="56" l="1"/>
  <c r="F131" i="19" l="1"/>
  <c r="F132" i="19"/>
  <c r="D137" i="19"/>
  <c r="D67" i="19"/>
  <c r="F29" i="7" l="1"/>
  <c r="F28" i="7"/>
  <c r="E13" i="26"/>
  <c r="D35" i="42"/>
  <c r="F16" i="56" l="1"/>
  <c r="F32" i="38"/>
  <c r="F42" i="47"/>
  <c r="B81" i="25"/>
  <c r="C88" i="25"/>
  <c r="D135" i="19" l="1"/>
  <c r="F135" i="19" s="1"/>
  <c r="C89" i="25"/>
  <c r="F19" i="56"/>
  <c r="G25" i="16"/>
  <c r="D144" i="19"/>
  <c r="D62" i="19"/>
  <c r="F71" i="34"/>
  <c r="F74" i="34"/>
  <c r="F75" i="34"/>
  <c r="F76" i="34"/>
  <c r="F77" i="34"/>
  <c r="C75" i="51"/>
  <c r="C82" i="51" s="1"/>
  <c r="D34" i="42"/>
  <c r="B16" i="51" l="1"/>
  <c r="F21" i="56"/>
  <c r="F23" i="56" s="1"/>
  <c r="F30" i="56" l="1"/>
  <c r="F42" i="56" s="1"/>
  <c r="F43" i="56" s="1"/>
  <c r="C16" i="39" s="1"/>
  <c r="D25" i="56"/>
  <c r="F25" i="56"/>
  <c r="D23" i="56"/>
  <c r="F31" i="38" l="1"/>
  <c r="F93" i="34"/>
  <c r="F94" i="34"/>
  <c r="F95" i="34"/>
  <c r="F96" i="34"/>
  <c r="F97" i="34"/>
  <c r="F98" i="34"/>
  <c r="F99" i="34"/>
  <c r="F100" i="34"/>
  <c r="F101" i="34"/>
  <c r="F102" i="34"/>
  <c r="F103" i="34"/>
  <c r="F104" i="34"/>
  <c r="F105" i="34"/>
  <c r="F106" i="34"/>
  <c r="F107" i="34"/>
  <c r="E27" i="7"/>
  <c r="D127" i="34" l="1"/>
  <c r="F113" i="34"/>
  <c r="A51" i="50"/>
  <c r="A38" i="50"/>
  <c r="A27" i="50"/>
  <c r="C111" i="25" l="1"/>
  <c r="C112" i="25" s="1"/>
  <c r="F30" i="38" l="1"/>
  <c r="C28" i="37" l="1"/>
  <c r="D42" i="19" s="1"/>
  <c r="C18" i="37"/>
  <c r="D30" i="1"/>
  <c r="D161" i="19"/>
  <c r="F161" i="19" s="1"/>
  <c r="D162" i="19"/>
  <c r="F162" i="19" s="1"/>
  <c r="D163" i="19"/>
  <c r="F163" i="19" s="1"/>
  <c r="D164" i="19"/>
  <c r="F164" i="19" s="1"/>
  <c r="D165" i="19"/>
  <c r="F165" i="19" s="1"/>
  <c r="F62" i="19"/>
  <c r="F63" i="19"/>
  <c r="F153" i="19"/>
  <c r="F144" i="19"/>
  <c r="F100" i="19"/>
  <c r="F99" i="19"/>
  <c r="F94" i="19"/>
  <c r="F90" i="19"/>
  <c r="F89" i="19"/>
  <c r="F85" i="19"/>
  <c r="F84" i="19"/>
  <c r="F80" i="19"/>
  <c r="F79" i="19"/>
  <c r="F75" i="19"/>
  <c r="F73" i="19"/>
  <c r="F69" i="19"/>
  <c r="F67" i="19"/>
  <c r="F61" i="19"/>
  <c r="F57" i="19"/>
  <c r="F55" i="19"/>
  <c r="C30" i="37" l="1"/>
  <c r="D41" i="19"/>
  <c r="F47" i="34"/>
  <c r="C41" i="42" l="1"/>
  <c r="E25" i="7"/>
  <c r="E113" i="19"/>
  <c r="D25" i="2" s="1"/>
  <c r="D111" i="19"/>
  <c r="F111" i="19" s="1"/>
  <c r="D74" i="19"/>
  <c r="F74" i="19" s="1"/>
  <c r="D68" i="19"/>
  <c r="F68" i="19" s="1"/>
  <c r="B15" i="51" l="1"/>
  <c r="E167" i="19" l="1"/>
  <c r="D36" i="2" s="1"/>
  <c r="E157" i="19"/>
  <c r="D35" i="2" s="1"/>
  <c r="E58" i="19"/>
  <c r="E51" i="19"/>
  <c r="D20" i="2" s="1"/>
  <c r="E44" i="19"/>
  <c r="D19" i="2" s="1"/>
  <c r="E20" i="19"/>
  <c r="D16" i="2" s="1"/>
  <c r="E28" i="19"/>
  <c r="D17" i="2" s="1"/>
  <c r="E37" i="19"/>
  <c r="D18" i="2" s="1"/>
  <c r="F137" i="19"/>
  <c r="D21" i="2" l="1"/>
  <c r="D110" i="19"/>
  <c r="F110" i="19" s="1"/>
  <c r="F17" i="55"/>
  <c r="F20" i="55" s="1"/>
  <c r="F14" i="55"/>
  <c r="F29" i="38"/>
  <c r="F17" i="38"/>
  <c r="B16" i="50"/>
  <c r="B16" i="35" s="1"/>
  <c r="B14" i="51" l="1"/>
  <c r="C36" i="2"/>
  <c r="F27" i="55" l="1"/>
  <c r="D24" i="55"/>
  <c r="D22" i="55"/>
  <c r="F22" i="55" s="1"/>
  <c r="F24" i="55" s="1"/>
  <c r="B56" i="50"/>
  <c r="B42" i="50"/>
  <c r="B43" i="50" s="1"/>
  <c r="B31" i="50"/>
  <c r="B32" i="50" s="1"/>
  <c r="F28" i="55" l="1"/>
  <c r="F29" i="55" s="1"/>
  <c r="F30" i="55" s="1"/>
  <c r="F31" i="55" s="1"/>
  <c r="F30" i="47"/>
  <c r="E21" i="7"/>
  <c r="E22" i="7"/>
  <c r="E24" i="7"/>
  <c r="F23" i="47"/>
  <c r="F40" i="55" l="1"/>
  <c r="F41" i="55" s="1"/>
  <c r="C12" i="39" s="1"/>
  <c r="D16" i="42"/>
  <c r="D17" i="42"/>
  <c r="D15" i="42"/>
  <c r="D37" i="42"/>
  <c r="D38" i="42"/>
  <c r="D39" i="42"/>
  <c r="D28" i="42"/>
  <c r="D29" i="42" s="1"/>
  <c r="F13" i="34" l="1"/>
  <c r="F14" i="34"/>
  <c r="F15" i="34"/>
  <c r="E140" i="19"/>
  <c r="D33" i="2" s="1"/>
  <c r="D138" i="19" l="1"/>
  <c r="F138" i="19" s="1"/>
  <c r="D95" i="19"/>
  <c r="F95" i="19" s="1"/>
  <c r="E22" i="16"/>
  <c r="E101" i="19"/>
  <c r="D101" i="19"/>
  <c r="E96" i="19"/>
  <c r="F101" i="19" l="1"/>
  <c r="D96" i="19"/>
  <c r="F96" i="19" s="1"/>
  <c r="F49" i="23" l="1"/>
  <c r="F65" i="34" l="1"/>
  <c r="D70" i="19"/>
  <c r="D64" i="19"/>
  <c r="B10" i="36" l="1"/>
  <c r="D108" i="19"/>
  <c r="F108" i="19" s="1"/>
  <c r="D18" i="19"/>
  <c r="F18" i="19" s="1"/>
  <c r="D17" i="19"/>
  <c r="F17" i="19" s="1"/>
  <c r="D16" i="19"/>
  <c r="F16" i="19" s="1"/>
  <c r="D15" i="19"/>
  <c r="F15" i="19" s="1"/>
  <c r="D14" i="19"/>
  <c r="C31" i="1"/>
  <c r="C30" i="1"/>
  <c r="E51" i="34"/>
  <c r="D21" i="1" s="1"/>
  <c r="C18" i="25" l="1"/>
  <c r="F26" i="7" l="1"/>
  <c r="C14" i="29"/>
  <c r="E26" i="29" s="1"/>
  <c r="F42" i="38" l="1"/>
  <c r="F37" i="34"/>
  <c r="F38" i="34"/>
  <c r="B10" i="30" l="1"/>
  <c r="E24" i="53" l="1"/>
  <c r="D32" i="1" l="1"/>
  <c r="F118" i="34" l="1"/>
  <c r="D154" i="19"/>
  <c r="F154" i="19" s="1"/>
  <c r="F18" i="29" l="1"/>
  <c r="F17" i="29"/>
  <c r="F85" i="34"/>
  <c r="F44" i="34"/>
  <c r="D109" i="19"/>
  <c r="F109" i="19" s="1"/>
  <c r="F83" i="34" l="1"/>
  <c r="F84" i="34"/>
  <c r="F86" i="34"/>
  <c r="E109" i="34"/>
  <c r="D23" i="1" s="1"/>
  <c r="E89" i="34"/>
  <c r="D22" i="1" s="1"/>
  <c r="F69" i="34" l="1"/>
  <c r="F78" i="34"/>
  <c r="F79" i="34"/>
  <c r="C46" i="25"/>
  <c r="D89" i="34" l="1"/>
  <c r="D51" i="34"/>
  <c r="C100" i="25"/>
  <c r="C10" i="40"/>
  <c r="D33" i="19" s="1"/>
  <c r="F33" i="19" s="1"/>
  <c r="C21" i="1" l="1"/>
  <c r="C22" i="1"/>
  <c r="F16" i="54"/>
  <c r="F19" i="54" s="1"/>
  <c r="F22" i="54" s="1"/>
  <c r="F24" i="54" l="1"/>
  <c r="F26" i="54" s="1"/>
  <c r="D24" i="54" l="1"/>
  <c r="D26" i="54"/>
  <c r="F42" i="54"/>
  <c r="F44" i="54" s="1"/>
  <c r="C14" i="39" s="1"/>
  <c r="F41" i="46"/>
  <c r="E41" i="53"/>
  <c r="D24" i="19" l="1"/>
  <c r="D28" i="19" l="1"/>
  <c r="F24" i="19"/>
  <c r="C41" i="52"/>
  <c r="H14" i="29"/>
  <c r="E14" i="29"/>
  <c r="D121" i="19" s="1"/>
  <c r="F121" i="19" s="1"/>
  <c r="D14" i="29"/>
  <c r="D119" i="19" s="1"/>
  <c r="F119" i="19" s="1"/>
  <c r="D117" i="19"/>
  <c r="F117" i="19" s="1"/>
  <c r="C11" i="45" l="1"/>
  <c r="C11" i="40" l="1"/>
  <c r="F27" i="7"/>
  <c r="F64" i="34" l="1"/>
  <c r="F61" i="34"/>
  <c r="H19" i="29" l="1"/>
  <c r="H21" i="29" s="1"/>
  <c r="E19" i="29"/>
  <c r="D19" i="29"/>
  <c r="C19" i="29"/>
  <c r="I18" i="29"/>
  <c r="I17" i="29"/>
  <c r="I13" i="29"/>
  <c r="F13" i="29"/>
  <c r="J13" i="29" s="1"/>
  <c r="I12" i="29"/>
  <c r="D118" i="19" l="1"/>
  <c r="F118" i="19" s="1"/>
  <c r="E27" i="29"/>
  <c r="D120" i="19"/>
  <c r="F120" i="19" s="1"/>
  <c r="E29" i="29"/>
  <c r="D122" i="19"/>
  <c r="F122" i="19" s="1"/>
  <c r="E31" i="29"/>
  <c r="I14" i="29"/>
  <c r="D123" i="19" s="1"/>
  <c r="F123" i="19" s="1"/>
  <c r="I19" i="29"/>
  <c r="J17" i="29"/>
  <c r="D21" i="29"/>
  <c r="F12" i="29"/>
  <c r="F14" i="29" s="1"/>
  <c r="E21" i="29"/>
  <c r="C21" i="29"/>
  <c r="J18" i="29"/>
  <c r="F19" i="29"/>
  <c r="E32" i="29" l="1"/>
  <c r="I21" i="29"/>
  <c r="D124" i="19"/>
  <c r="J19" i="29"/>
  <c r="F21" i="29"/>
  <c r="J12" i="29"/>
  <c r="J14" i="29" s="1"/>
  <c r="D126" i="19" l="1"/>
  <c r="C26" i="2" s="1"/>
  <c r="F124" i="19"/>
  <c r="J21" i="29"/>
  <c r="B18" i="51" l="1"/>
  <c r="D107" i="19" l="1"/>
  <c r="D113" i="19" l="1"/>
  <c r="C25" i="2" s="1"/>
  <c r="F107" i="19"/>
  <c r="F62" i="34" l="1"/>
  <c r="C74" i="25"/>
  <c r="C76" i="25" s="1"/>
  <c r="C32" i="1" l="1"/>
  <c r="B34" i="52"/>
  <c r="B47" i="52" s="1"/>
  <c r="B33" i="52"/>
  <c r="B46" i="52" s="1"/>
  <c r="B34" i="25" l="1"/>
  <c r="B33" i="25"/>
  <c r="B32" i="25"/>
  <c r="B50" i="25" s="1"/>
  <c r="F113" i="19"/>
  <c r="B67" i="25" l="1"/>
  <c r="B92" i="25" s="1"/>
  <c r="B68" i="25"/>
  <c r="B93" i="25" s="1"/>
  <c r="E25" i="2"/>
  <c r="F125" i="34" l="1"/>
  <c r="F80" i="34"/>
  <c r="E20" i="7" l="1"/>
  <c r="D155" i="19" l="1"/>
  <c r="F155" i="19" s="1"/>
  <c r="D152" i="19"/>
  <c r="F152" i="19" s="1"/>
  <c r="A35" i="35"/>
  <c r="A34" i="35"/>
  <c r="A36" i="50"/>
  <c r="A35" i="50"/>
  <c r="A25" i="50"/>
  <c r="A24" i="50"/>
  <c r="D136" i="19"/>
  <c r="F136" i="19" s="1"/>
  <c r="D134" i="19"/>
  <c r="F134" i="19" s="1"/>
  <c r="D133" i="19"/>
  <c r="F133" i="19" s="1"/>
  <c r="D130" i="19"/>
  <c r="F130" i="19" s="1"/>
  <c r="D34" i="2"/>
  <c r="F140" i="19" l="1"/>
  <c r="D140" i="19"/>
  <c r="C33" i="2" l="1"/>
  <c r="D15" i="31" l="1"/>
  <c r="D25" i="31"/>
  <c r="D28" i="31" s="1"/>
  <c r="D19" i="31"/>
  <c r="D21" i="31" s="1"/>
  <c r="D27" i="31" s="1"/>
  <c r="F14" i="19"/>
  <c r="B44" i="35"/>
  <c r="D151" i="19" s="1"/>
  <c r="B13" i="32"/>
  <c r="B12" i="36"/>
  <c r="B16" i="36" s="1"/>
  <c r="D171" i="19"/>
  <c r="F171" i="19" s="1"/>
  <c r="F173" i="19" s="1"/>
  <c r="F16" i="47"/>
  <c r="F19" i="47" s="1"/>
  <c r="F43" i="46"/>
  <c r="C13" i="39" s="1"/>
  <c r="F22" i="46"/>
  <c r="D26" i="46" s="1"/>
  <c r="F26" i="46" s="1"/>
  <c r="F16" i="46"/>
  <c r="F20" i="38"/>
  <c r="D22" i="38" s="1"/>
  <c r="F14" i="38"/>
  <c r="F43" i="38" s="1"/>
  <c r="C11" i="39" s="1"/>
  <c r="F25" i="23"/>
  <c r="F21" i="23"/>
  <c r="F28" i="23" s="1"/>
  <c r="F42" i="19"/>
  <c r="C12" i="22"/>
  <c r="F25" i="7"/>
  <c r="F24" i="7"/>
  <c r="F23" i="7"/>
  <c r="F22" i="7"/>
  <c r="F21" i="7"/>
  <c r="F20" i="7"/>
  <c r="E19" i="7"/>
  <c r="E31" i="7" s="1"/>
  <c r="F18" i="7"/>
  <c r="F17" i="7"/>
  <c r="F16" i="7"/>
  <c r="F15" i="7"/>
  <c r="F14" i="7"/>
  <c r="F13" i="7"/>
  <c r="F12" i="7"/>
  <c r="F11" i="7"/>
  <c r="F10" i="7"/>
  <c r="C13" i="26"/>
  <c r="E127" i="34"/>
  <c r="F124" i="34"/>
  <c r="G124" i="34" s="1"/>
  <c r="E120" i="34"/>
  <c r="D24" i="1" s="1"/>
  <c r="D120" i="34"/>
  <c r="C24" i="1" s="1"/>
  <c r="F117" i="34"/>
  <c r="F115" i="34"/>
  <c r="F114" i="34"/>
  <c r="D109" i="34"/>
  <c r="F87" i="34"/>
  <c r="F82" i="34"/>
  <c r="F81" i="34"/>
  <c r="F73" i="34"/>
  <c r="F72" i="34"/>
  <c r="F70" i="34"/>
  <c r="F68" i="34"/>
  <c r="F67" i="34"/>
  <c r="F66" i="34"/>
  <c r="F63" i="34"/>
  <c r="F60" i="34"/>
  <c r="F59" i="34"/>
  <c r="F58" i="34"/>
  <c r="F57" i="34"/>
  <c r="F56" i="34"/>
  <c r="F55" i="34"/>
  <c r="F49" i="34"/>
  <c r="F48" i="34"/>
  <c r="F46" i="34"/>
  <c r="F45" i="34"/>
  <c r="F43" i="34"/>
  <c r="F42" i="34"/>
  <c r="F41" i="34"/>
  <c r="F40" i="34"/>
  <c r="F39" i="34"/>
  <c r="F36" i="34"/>
  <c r="F35" i="34"/>
  <c r="F34" i="34"/>
  <c r="F33" i="34"/>
  <c r="E29" i="34"/>
  <c r="D29" i="34"/>
  <c r="C16" i="1" s="1"/>
  <c r="F27" i="34"/>
  <c r="F29" i="34" s="1"/>
  <c r="E23" i="34"/>
  <c r="D23" i="34"/>
  <c r="C15" i="1" s="1"/>
  <c r="F21" i="34"/>
  <c r="F23" i="34" s="1"/>
  <c r="E17" i="34"/>
  <c r="D17" i="34"/>
  <c r="F12" i="34"/>
  <c r="H25" i="16"/>
  <c r="E21" i="16"/>
  <c r="E20" i="16"/>
  <c r="E19" i="16"/>
  <c r="F18" i="16"/>
  <c r="E18" i="16" s="1"/>
  <c r="E17" i="16"/>
  <c r="E16" i="16"/>
  <c r="B8" i="16"/>
  <c r="B6" i="16"/>
  <c r="E173" i="19"/>
  <c r="D37" i="2" s="1"/>
  <c r="D38" i="2" s="1"/>
  <c r="E126" i="19"/>
  <c r="D26" i="2" s="1"/>
  <c r="E91" i="19"/>
  <c r="D91" i="19"/>
  <c r="E86" i="19"/>
  <c r="D86" i="19"/>
  <c r="E81" i="19"/>
  <c r="D81" i="19"/>
  <c r="E76" i="19"/>
  <c r="D76" i="19"/>
  <c r="E70" i="19"/>
  <c r="E64" i="19"/>
  <c r="D56" i="19"/>
  <c r="F26" i="19"/>
  <c r="D13" i="19"/>
  <c r="D20" i="19" s="1"/>
  <c r="A45" i="1"/>
  <c r="E31" i="1"/>
  <c r="E45" i="2"/>
  <c r="F19" i="7" l="1"/>
  <c r="F31" i="7" s="1"/>
  <c r="C13" i="40"/>
  <c r="D35" i="19" s="1"/>
  <c r="F35" i="19" s="1"/>
  <c r="E25" i="16"/>
  <c r="F151" i="19"/>
  <c r="F157" i="19" s="1"/>
  <c r="D157" i="19"/>
  <c r="B13" i="35"/>
  <c r="B17" i="35" s="1"/>
  <c r="D58" i="19"/>
  <c r="D103" i="19" s="1"/>
  <c r="F56" i="19"/>
  <c r="F58" i="19" s="1"/>
  <c r="F145" i="19"/>
  <c r="B45" i="35"/>
  <c r="F120" i="34"/>
  <c r="D167" i="19"/>
  <c r="F22" i="38"/>
  <c r="F24" i="38" s="1"/>
  <c r="E103" i="19"/>
  <c r="D24" i="2" s="1"/>
  <c r="F25" i="16"/>
  <c r="C44" i="2" s="1"/>
  <c r="C23" i="1"/>
  <c r="F25" i="19"/>
  <c r="B36" i="36"/>
  <c r="B38" i="36" s="1"/>
  <c r="B21" i="36"/>
  <c r="E15" i="1"/>
  <c r="F32" i="23"/>
  <c r="F30" i="23"/>
  <c r="F34" i="23"/>
  <c r="F21" i="47"/>
  <c r="F52" i="23"/>
  <c r="F89" i="34"/>
  <c r="F51" i="34"/>
  <c r="F109" i="34"/>
  <c r="D24" i="46"/>
  <c r="F24" i="46" s="1"/>
  <c r="D41" i="2"/>
  <c r="F41" i="19"/>
  <c r="D18" i="42"/>
  <c r="D21" i="42" s="1"/>
  <c r="D24" i="38"/>
  <c r="E24" i="1"/>
  <c r="E16" i="1"/>
  <c r="E14" i="1"/>
  <c r="D25" i="1"/>
  <c r="E21" i="1"/>
  <c r="F86" i="19"/>
  <c r="C34" i="2"/>
  <c r="F81" i="19"/>
  <c r="F91" i="19"/>
  <c r="F17" i="34"/>
  <c r="E30" i="1"/>
  <c r="E32" i="1" s="1"/>
  <c r="F127" i="34"/>
  <c r="C17" i="1"/>
  <c r="D29" i="31"/>
  <c r="F13" i="19"/>
  <c r="F20" i="19" s="1"/>
  <c r="D173" i="19"/>
  <c r="C37" i="2" s="1"/>
  <c r="F167" i="19" l="1"/>
  <c r="F44" i="19"/>
  <c r="D44" i="19"/>
  <c r="C19" i="2" s="1"/>
  <c r="B22" i="36"/>
  <c r="B23" i="36" s="1"/>
  <c r="B24" i="36" s="1"/>
  <c r="B25" i="36" s="1"/>
  <c r="B26" i="36" s="1"/>
  <c r="B27" i="36" s="1"/>
  <c r="C21" i="36"/>
  <c r="E44" i="2"/>
  <c r="C24" i="2"/>
  <c r="D17" i="1"/>
  <c r="D27" i="1" s="1"/>
  <c r="D36" i="1" s="1"/>
  <c r="D9" i="39"/>
  <c r="C38" i="2"/>
  <c r="C45" i="42"/>
  <c r="C47" i="42" s="1"/>
  <c r="F64" i="19"/>
  <c r="F76" i="19"/>
  <c r="F70" i="19"/>
  <c r="D25" i="47"/>
  <c r="F25" i="47"/>
  <c r="D23" i="47"/>
  <c r="F126" i="19"/>
  <c r="E23" i="1"/>
  <c r="E22" i="1"/>
  <c r="H11" i="41"/>
  <c r="F28" i="19"/>
  <c r="E17" i="1"/>
  <c r="D27" i="2"/>
  <c r="D29" i="2" s="1"/>
  <c r="E36" i="2"/>
  <c r="E34" i="2"/>
  <c r="E33" i="2"/>
  <c r="C25" i="1"/>
  <c r="C27" i="1" s="1"/>
  <c r="C16" i="2"/>
  <c r="B28" i="36" l="1"/>
  <c r="C36" i="1"/>
  <c r="C22" i="36"/>
  <c r="C23" i="36"/>
  <c r="C24" i="36" s="1"/>
  <c r="C25" i="36" s="1"/>
  <c r="C26" i="36" s="1"/>
  <c r="C27" i="36" s="1"/>
  <c r="C28" i="36" s="1"/>
  <c r="F103" i="19"/>
  <c r="D48" i="19"/>
  <c r="F48" i="19" s="1"/>
  <c r="C17" i="2"/>
  <c r="D37" i="1"/>
  <c r="D48" i="2"/>
  <c r="D50" i="2" s="1"/>
  <c r="E25" i="1"/>
  <c r="E27" i="1" s="1"/>
  <c r="E36" i="1" s="1"/>
  <c r="C41" i="2"/>
  <c r="E35" i="2"/>
  <c r="E19" i="2"/>
  <c r="E37" i="2"/>
  <c r="C27" i="2"/>
  <c r="E16" i="2"/>
  <c r="E24" i="2"/>
  <c r="C37" i="1" l="1"/>
  <c r="B29" i="36"/>
  <c r="C29" i="36" s="1"/>
  <c r="C46" i="2"/>
  <c r="C48" i="2" s="1"/>
  <c r="C50" i="2" s="1"/>
  <c r="E38" i="2"/>
  <c r="E41" i="2" s="1"/>
  <c r="C12" i="40"/>
  <c r="D34" i="19"/>
  <c r="E17" i="2"/>
  <c r="D51" i="2"/>
  <c r="E26" i="2"/>
  <c r="E27" i="2" s="1"/>
  <c r="E37" i="1"/>
  <c r="B33" i="36" l="1"/>
  <c r="E46" i="2"/>
  <c r="E48" i="2" s="1"/>
  <c r="E50" i="2" s="1"/>
  <c r="F34" i="19"/>
  <c r="F43" i="47"/>
  <c r="D17" i="39" s="1"/>
  <c r="D49" i="19" l="1"/>
  <c r="D19" i="39"/>
  <c r="D51" i="19" l="1"/>
  <c r="C20" i="2" s="1"/>
  <c r="F49" i="19"/>
  <c r="F51" i="19" s="1"/>
  <c r="E20" i="2" l="1"/>
  <c r="D30" i="42" l="1"/>
  <c r="D31" i="42" s="1"/>
  <c r="D32" i="42" s="1"/>
  <c r="D33" i="42" s="1"/>
  <c r="C9" i="40" l="1"/>
  <c r="C14" i="40" l="1"/>
  <c r="D32" i="19"/>
  <c r="D37" i="19" l="1"/>
  <c r="C18" i="2" s="1"/>
  <c r="F32" i="19"/>
  <c r="F37" i="19" s="1"/>
  <c r="E18" i="2" l="1"/>
  <c r="E21" i="2" s="1"/>
  <c r="C21" i="2"/>
  <c r="C29" i="2" s="1"/>
  <c r="E29" i="2" l="1"/>
  <c r="E51" i="2" s="1"/>
  <c r="C51" i="2"/>
</calcChain>
</file>

<file path=xl/sharedStrings.xml><?xml version="1.0" encoding="utf-8"?>
<sst xmlns="http://schemas.openxmlformats.org/spreadsheetml/2006/main" count="1437" uniqueCount="895">
  <si>
    <t xml:space="preserve"> </t>
  </si>
  <si>
    <t>FONDO PATRIMONIAL DE LAS EMPRESAS REFORMADAS</t>
  </si>
  <si>
    <t xml:space="preserve">ESTADO DE SITUACIÓN </t>
  </si>
  <si>
    <t>Valores expresados en RD$</t>
  </si>
  <si>
    <t>Notas</t>
  </si>
  <si>
    <t>Mes Actual</t>
  </si>
  <si>
    <t>Mes Anterior</t>
  </si>
  <si>
    <t>Variación</t>
  </si>
  <si>
    <t>ACTIVOS</t>
  </si>
  <si>
    <t>Corrientes:</t>
  </si>
  <si>
    <t xml:space="preserve">Efectivo en caja y banco            </t>
  </si>
  <si>
    <t xml:space="preserve">Inversiones a corto plazo           </t>
  </si>
  <si>
    <t xml:space="preserve">Cuentas por cobrar                    </t>
  </si>
  <si>
    <t>Inventario</t>
  </si>
  <si>
    <t xml:space="preserve">Gastos pagados por anticipado               </t>
  </si>
  <si>
    <t>Total activos corrientes</t>
  </si>
  <si>
    <t>No Corrientes:</t>
  </si>
  <si>
    <t>Inversiones en acciones</t>
  </si>
  <si>
    <t>Avances a futuras capitalizaciones</t>
  </si>
  <si>
    <t>Mobiliarios y equipos, Neto</t>
  </si>
  <si>
    <t>Total activos no corrientes</t>
  </si>
  <si>
    <t>TOTAL ACTIVOS</t>
  </si>
  <si>
    <t>PASIVOS</t>
  </si>
  <si>
    <t xml:space="preserve">Cuentas por pagar proveedores                     </t>
  </si>
  <si>
    <t xml:space="preserve">Cuentas por pagar contratistas                           </t>
  </si>
  <si>
    <t>Gastos de personal por pagar</t>
  </si>
  <si>
    <t>Deducciones y retenciones por pagar</t>
  </si>
  <si>
    <t xml:space="preserve">Otras cuentas por pagar                   </t>
  </si>
  <si>
    <t>TOTAL PASIVOS</t>
  </si>
  <si>
    <t>PATRIMONIO</t>
  </si>
  <si>
    <t xml:space="preserve">Patrimonio Institucional </t>
  </si>
  <si>
    <t>Resultado del ejercicio anterior</t>
  </si>
  <si>
    <t>Resultado del ejercicio corriente</t>
  </si>
  <si>
    <t>TOTAL PATRIMONIO</t>
  </si>
  <si>
    <t>TOTAL PASIVOS Y PATRIMONIO</t>
  </si>
  <si>
    <t>Carlos Suberví</t>
  </si>
  <si>
    <t>Marleny Medrano</t>
  </si>
  <si>
    <t>Encargado División de Contabilidad</t>
  </si>
  <si>
    <t>Directora Administrativa Financiera</t>
  </si>
  <si>
    <t>José E. Florentino</t>
  </si>
  <si>
    <t>Presidente</t>
  </si>
  <si>
    <t xml:space="preserve">ESTADO DE RESULTADOS </t>
  </si>
  <si>
    <t>NOTAS</t>
  </si>
  <si>
    <t>Acumulado al Mes Actual</t>
  </si>
  <si>
    <t>Acumulado al Mes Anterior</t>
  </si>
  <si>
    <t>Ingresos:</t>
  </si>
  <si>
    <t xml:space="preserve">Participación en las Empresas Reformadas     </t>
  </si>
  <si>
    <t xml:space="preserve">Intereses ganados                              </t>
  </si>
  <si>
    <t xml:space="preserve">Otros ingresos                                </t>
  </si>
  <si>
    <t>Total ingresos</t>
  </si>
  <si>
    <t>Gastos de operaciones:</t>
  </si>
  <si>
    <t xml:space="preserve">Remuneraciones                              </t>
  </si>
  <si>
    <t xml:space="preserve">Servicios no personales             </t>
  </si>
  <si>
    <t xml:space="preserve">Materiales y suministros             </t>
  </si>
  <si>
    <t>Total gastos de operaciones</t>
  </si>
  <si>
    <t>Resultado en operaciones</t>
  </si>
  <si>
    <t>Otros ingresos (gastos) no operacionales:</t>
  </si>
  <si>
    <t>Ganancia en operaciones cambiarias</t>
  </si>
  <si>
    <t>(Pérdida) en operaciones cambiarias</t>
  </si>
  <si>
    <t>Total otros ingresos (gastos) no operacionales:</t>
  </si>
  <si>
    <t>RESULTADO NETO</t>
  </si>
  <si>
    <t xml:space="preserve"> Carlos Suberví</t>
  </si>
  <si>
    <t xml:space="preserve">ANEXOS DE ESTADO DE SITUACIÓN </t>
  </si>
  <si>
    <t>VALORES EXPRESADOS EN RD$</t>
  </si>
  <si>
    <t>EFECTIVO EN CAJA Y BANCO:</t>
  </si>
  <si>
    <t>CAJA GENERAL</t>
  </si>
  <si>
    <t>FONDO DE CAJA CHICA</t>
  </si>
  <si>
    <t>TOTAL EFECTIVO EN CAJA Y BANCO</t>
  </si>
  <si>
    <t xml:space="preserve">    </t>
  </si>
  <si>
    <t>AVANCES CONTRATOS DE CONSTRUCCIÓN</t>
  </si>
  <si>
    <t>ANTICIPOS EN COMPRAS</t>
  </si>
  <si>
    <t>CUENTAS POR COBRAR EMPLEADOS</t>
  </si>
  <si>
    <t>CUENTAS POR COBRAR MANTENIMIENTO EDIFICIO</t>
  </si>
  <si>
    <t>EXISTENCIAS ALMACÉN 1</t>
  </si>
  <si>
    <t>EXISTENCIAS ALMACÉN 2</t>
  </si>
  <si>
    <t>GASTOS PAGADOS POR ANTICIPADO:</t>
  </si>
  <si>
    <t>SEGUROS DE BIENES</t>
  </si>
  <si>
    <t>LICENCIAS</t>
  </si>
  <si>
    <t>TOTAL GASTOS PAGADOS POR ANTICIPADO</t>
  </si>
  <si>
    <t>INVERSIONES EN ACCIONES:</t>
  </si>
  <si>
    <t>PARTICIPACIÓN EN LA TABACALERA, S. A.</t>
  </si>
  <si>
    <t>BENEFICIOS (PÉRDIDAS) ACUMULADAS</t>
  </si>
  <si>
    <t>RESERVA LEGAL</t>
  </si>
  <si>
    <t>PARTICIPACIÓN EN LA TABACALERA, S. A., NETO</t>
  </si>
  <si>
    <t>PARTICIPACIÓN EN EGEITABO</t>
  </si>
  <si>
    <t>PARTICIPACIÓN EN EGEITABO, NETO</t>
  </si>
  <si>
    <t>PARTICIPACIÓN EN MOLINOS DEL OZAMA</t>
  </si>
  <si>
    <t>PARTICIPACIÓN EN MOLINOS DEL OZAMA, NETO</t>
  </si>
  <si>
    <t>PARTICIPACIÓN EN EGEHAINA</t>
  </si>
  <si>
    <t>PARTICIPACIÓN EN EGEHAINA, NETO</t>
  </si>
  <si>
    <t>PARTICIPACIÓN EN EDENORTE</t>
  </si>
  <si>
    <t>PARTICIPACIÓN EN EDENORTE, NETO</t>
  </si>
  <si>
    <t>PARTICIPACIÓN EN EDESUR</t>
  </si>
  <si>
    <t>PARTICIPACIÓN EN EDESUR, NETO</t>
  </si>
  <si>
    <t>PARTICIPACIÓN EN EDEESTE</t>
  </si>
  <si>
    <t>PARTICIPACIÓN EN EDEESTE, NETO</t>
  </si>
  <si>
    <t>TOTAL INVERSIONES EN ACCIONES</t>
  </si>
  <si>
    <t>AVANCES A FUTURAS CAPITALIZACIONES:</t>
  </si>
  <si>
    <t>LA TABACALERA, S. A.</t>
  </si>
  <si>
    <t>EDENORTE</t>
  </si>
  <si>
    <t>EDEESTE</t>
  </si>
  <si>
    <t>TOTAL AVANCES A FUTURAS CAPITALIZACIONES</t>
  </si>
  <si>
    <t>MOBILIARIOS Y EQUIPOS, NETO</t>
  </si>
  <si>
    <t>MOBILIARIOS Y EQUIPOS DE OFICINA</t>
  </si>
  <si>
    <t>DEPRECIACIÓN ACUMULADA</t>
  </si>
  <si>
    <t>ARMAS DE FUEGO</t>
  </si>
  <si>
    <t>EQUIPOS DE TRANSPORTE</t>
  </si>
  <si>
    <t>SOFTWARE</t>
  </si>
  <si>
    <t>AMORTIZACIÓN ACUMULADA</t>
  </si>
  <si>
    <t>TOTAL MOBILIARIOS Y EQUIPOS, NETO</t>
  </si>
  <si>
    <t>CUENTAS POR PAGAR:</t>
  </si>
  <si>
    <t>CUENTAS POR PAGAR PROVEEDORES</t>
  </si>
  <si>
    <t>SERVICIOS GENERALES POR PAGAR</t>
  </si>
  <si>
    <t>CAJA CHICA POR PAGAR</t>
  </si>
  <si>
    <t>CUENTAS POR PAGAR EMPLEADOS</t>
  </si>
  <si>
    <t>CUENTAS POR PAGAR RETENCIONES</t>
  </si>
  <si>
    <t xml:space="preserve">TOTAL CUENTAS POR PAGAR PROVEEDORES </t>
  </si>
  <si>
    <t>GASTOS DE PERSONAL POR PAGAR:</t>
  </si>
  <si>
    <t>SALARIOS POR PAGAR</t>
  </si>
  <si>
    <t>GRATIFICACIONES Y BONIFICACIONES POR PAGAR</t>
  </si>
  <si>
    <t>VACACIONES POR PAGAR</t>
  </si>
  <si>
    <t>REGALÍA PASCUAL POR PAGAR</t>
  </si>
  <si>
    <t>TOTAL GASTOS DE PERSONAL POR PAGAR</t>
  </si>
  <si>
    <t>DEDUCCIONES Y RETENCIONES POR PAGAR:</t>
  </si>
  <si>
    <t>RETENCIÓN ITBIS</t>
  </si>
  <si>
    <t>RETENCIÓN CODIA</t>
  </si>
  <si>
    <t>RETENCIÓN FOPETCONS</t>
  </si>
  <si>
    <t>TOTAL DEDUCCIONES Y RETENCIONES POR PAGAR</t>
  </si>
  <si>
    <t>OTRAS CUENTAS POR PAGAR:</t>
  </si>
  <si>
    <t>ANEXOS ESTADO DE RESULTADOS</t>
  </si>
  <si>
    <t>Acumulado Mes Actual</t>
  </si>
  <si>
    <t>Acumulado Mes Anterior</t>
  </si>
  <si>
    <t>INGRESO POR PARTICIPACIÓN EGEITABO</t>
  </si>
  <si>
    <t>INGRESO POR PARTICIPACIÓN MOLINOS DEL OZAMA</t>
  </si>
  <si>
    <t>INGRESO POR PARTICIPACIÓN EGEHAINA</t>
  </si>
  <si>
    <t>INTERESES GANADOS:</t>
  </si>
  <si>
    <t>BANCO DE RESERVAS</t>
  </si>
  <si>
    <t>TOTAL INTERESES GANADOS</t>
  </si>
  <si>
    <t>OTROS INGRESOS:</t>
  </si>
  <si>
    <t>OTROS INGRESOS</t>
  </si>
  <si>
    <t>TOTAL OTROS INGRESOS</t>
  </si>
  <si>
    <t>REMUNERACIONES:</t>
  </si>
  <si>
    <t>SUELDOS PARA CARGOS FIJOS</t>
  </si>
  <si>
    <t>COMPENSACIÓN POR GASTOS DE ALIMENTOS</t>
  </si>
  <si>
    <t>COMPENSACIÓN POR HORAS EXTRAS</t>
  </si>
  <si>
    <t>COMPENSACIÓN POR SERVICIOS DE SEGURIDAD</t>
  </si>
  <si>
    <t>COMPENSACIÓN AL CONSEJO DE DIRECTORES</t>
  </si>
  <si>
    <t>FESTIVIDADES</t>
  </si>
  <si>
    <t>HONORARIOS PROFESIONALES Y TÉCNICOS</t>
  </si>
  <si>
    <t>DIETAS EN EL PAÍS</t>
  </si>
  <si>
    <t>GASTOS DE REPRESENTACIÓN</t>
  </si>
  <si>
    <t>SUELDOS NAVIDEÑOS</t>
  </si>
  <si>
    <t>BONIFICACIONES</t>
  </si>
  <si>
    <t>PRESTACIONES LABORALES</t>
  </si>
  <si>
    <t>INCENTIVO POR VACACIONES</t>
  </si>
  <si>
    <t>CONTRIBUCIÓN SEGURIDAD SOCIAL Y RIESGO LABORAL</t>
  </si>
  <si>
    <t>TOTAL REMUNERACIONES</t>
  </si>
  <si>
    <t>SERVICIOS NO PERSONALES:</t>
  </si>
  <si>
    <t>TELÉFONO LOCAL</t>
  </si>
  <si>
    <t>INTERNET Y TV POR CABLE</t>
  </si>
  <si>
    <t>ELECTRICIDAD</t>
  </si>
  <si>
    <t>AGUA</t>
  </si>
  <si>
    <t>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</si>
  <si>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</si>
  <si>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</si>
  <si>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</si>
  <si>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</si>
  <si>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</si>
  <si>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</si>
  <si>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</si>
  <si>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ALQUILER MAQUINARIAS Y EQUIPOS DE OFICINAS</t>
  </si>
  <si>
    <t>SEGUROS DE BIENES MUEBLES</t>
  </si>
  <si>
    <t>SEGUROS DE PERSONAS</t>
  </si>
  <si>
    <t>OBRAS MENORES</t>
  </si>
  <si>
    <t>MANTENIMIENTO Y REPARACIÓN MOBILIARIOS Y EQUIPOS</t>
  </si>
  <si>
    <t>MANTENIMIENTO EQUIPOS DE TRANSPORTE, TRACCIÓN Y</t>
  </si>
  <si>
    <t>MEJORAS Y EMBELLECIMIENTO DE INSTALACIONES</t>
  </si>
  <si>
    <t>OTROS ALQUILERES</t>
  </si>
  <si>
    <t>MANTENIMIENTO DEL SISTEMA ELÉCTRICO</t>
  </si>
  <si>
    <t>GASTOS JUDICIALES</t>
  </si>
  <si>
    <t>COMISIONES Y GASTOS BANCARIOS</t>
  </si>
  <si>
    <t>AUDITORIA Y ESTUDIOS FINANCIEROS</t>
  </si>
  <si>
    <t>SERVICIOS FUNERARIOS Y GASTOS CONEXOS</t>
  </si>
  <si>
    <t>SERVICIOS ESPECIALES</t>
  </si>
  <si>
    <t>SERVICIOS TÉCNICOS Y PROFESIONALES</t>
  </si>
  <si>
    <t>IMPUESTOS, DERECHOS Y TASAS</t>
  </si>
  <si>
    <t>SERVICIOS DE CAPACITACIÓN</t>
  </si>
  <si>
    <t>MEMBRESIA</t>
  </si>
  <si>
    <t>TOTAL SERVICIOS NO PERSONALES</t>
  </si>
  <si>
    <t>MATERIALES Y SUMINISTROS:</t>
  </si>
  <si>
    <t>ALIMENTOS Y BEBIDAS PARA PERSONAS</t>
  </si>
  <si>
    <t>PRENDAS DE VESTIR</t>
  </si>
  <si>
    <t>PRODUCTOS DE PAPEL Y CARTÓN</t>
  </si>
  <si>
    <t>LIBROS, REVISTAS Y PERIÓDICOS</t>
  </si>
  <si>
    <t>COMBUSTIBLES Y LUBRICANTES</t>
  </si>
  <si>
    <t>PRODUCTOS FARMACÉUTICOS Y CONEXOS</t>
  </si>
  <si>
    <t>MATERIALES DE LIMPIEZA</t>
  </si>
  <si>
    <t>ÚTILES DE ESCRITORIOS, OFICINAS Y ENSEÑANZA</t>
  </si>
  <si>
    <t>ÚTILES DE COCINA Y COMEDOR</t>
  </si>
  <si>
    <t>PRODUCTOS ELÉCTRICOS Y AFINES</t>
  </si>
  <si>
    <t>ÚTILES DIVERSOS</t>
  </si>
  <si>
    <t>DEPRECIACIÓN MOBILIARIOS Y EQUIPOS DE OFICINA</t>
  </si>
  <si>
    <t>DEPRECIACIÓN EQUIPOS DE TRANSPORTE</t>
  </si>
  <si>
    <t>AMORTIZACIÓN BIENES INTANGIBLES</t>
  </si>
  <si>
    <t>DEPRECIACIÓN ARMAS DE FUEGO</t>
  </si>
  <si>
    <t>TOTAL MATERIALES Y SUMINISTROS</t>
  </si>
  <si>
    <t>TRANSFERENCIA A INSTITUCIONES SIN FINES DE LUCRO</t>
  </si>
  <si>
    <t>CONTRATISTAS DE OBRAS</t>
  </si>
  <si>
    <t>VIÁTICOS Y DIETAS PARA SUPERVISAR OBRAS</t>
  </si>
  <si>
    <t>TOTAL TRANSFERENCIAS Y DONACIONES</t>
  </si>
  <si>
    <t>OTROS INGRESOS (GASTOS) NO OPERACIONALES:</t>
  </si>
  <si>
    <t>GANANCIA EN OPERACIONES CAMBIARIAS</t>
  </si>
  <si>
    <t>(PÉRDIDA) EN OPERACIONES CAMBIARIAS</t>
  </si>
  <si>
    <t>TOTAL OTROS INGRESOS (GASTOS) NO OPERACIONALES</t>
  </si>
  <si>
    <t>PATRIMONIO INSTITUCIONAL</t>
  </si>
  <si>
    <t>Descripción</t>
  </si>
  <si>
    <t xml:space="preserve">Total </t>
  </si>
  <si>
    <t>EGEITABO</t>
  </si>
  <si>
    <t>MOLINOS DEL OZAMA</t>
  </si>
  <si>
    <t>EGEHAINA</t>
  </si>
  <si>
    <t>EDESUR</t>
  </si>
  <si>
    <t>TOTAL INVERSIONES EN PATRIMONIO INSTITUCIONAL</t>
  </si>
  <si>
    <t>NOTA 1</t>
  </si>
  <si>
    <t>Cédula de detalle de cuentas</t>
  </si>
  <si>
    <t>Efectivo en Caja y Banco</t>
  </si>
  <si>
    <t>Tasa de cambio</t>
  </si>
  <si>
    <t>Monto RD$</t>
  </si>
  <si>
    <t>Caja general</t>
  </si>
  <si>
    <t>Caja chica</t>
  </si>
  <si>
    <t>Cuenta corriente operativa RD$</t>
  </si>
  <si>
    <t>Cuenta corriente nómina RD$</t>
  </si>
  <si>
    <t>Cuenta de ahorro en US$, a la par</t>
  </si>
  <si>
    <t>Cuenta de ahorro en US$, prima</t>
  </si>
  <si>
    <t>Condición correcta, con tasa al RD$57.50</t>
  </si>
  <si>
    <t xml:space="preserve"> x 57.50</t>
  </si>
  <si>
    <t>Condición Actual en sistema</t>
  </si>
  <si>
    <t>Corrección necesaria</t>
  </si>
  <si>
    <t>NOTA 2</t>
  </si>
  <si>
    <t>Inversiones a Corto Plazo</t>
  </si>
  <si>
    <t>Monto US$</t>
  </si>
  <si>
    <t>BR - 9606264085</t>
  </si>
  <si>
    <t>BR - 9607363302</t>
  </si>
  <si>
    <t>Total</t>
  </si>
  <si>
    <t>NOTA 3</t>
  </si>
  <si>
    <t>Cuentas por Cobrar</t>
  </si>
  <si>
    <t>Avance contratos de construcción</t>
  </si>
  <si>
    <t>Anticipo en compras</t>
  </si>
  <si>
    <t>Intereses certificados RD$ Banreservas</t>
  </si>
  <si>
    <t>Cuentas por cobrar a empleados</t>
  </si>
  <si>
    <t>Cuentas por cobrar mantenimiento edificio</t>
  </si>
  <si>
    <t>ANÁLISIS BALANCE CUENTA AVANCE CONTRATOS DE CONSTRUCCIÓN</t>
  </si>
  <si>
    <t>BALANCE</t>
  </si>
  <si>
    <t>EJECUTADO</t>
  </si>
  <si>
    <t>ANTERIOR</t>
  </si>
  <si>
    <t>ACTUAL</t>
  </si>
  <si>
    <t>JOSE RAMON MARTINEZ HENRIQUEZ / ROBERT ANTONIO ALMANZAR MERCADO</t>
  </si>
  <si>
    <t>PARQUE ECOLOGICO LAS LAGUNAS</t>
  </si>
  <si>
    <t>P/ CORREGIR BALANCE PROVEEDOR POR DISMINUCION EN PARTIDA DE IMPREVISTOS Y AUMENTO DE ITBIS</t>
  </si>
  <si>
    <t>FELIX MARIA UBIERA SATURRIA</t>
  </si>
  <si>
    <t>CONSTRUCCIONES Y EQUIPOS MOLINAS SRL</t>
  </si>
  <si>
    <t>CONSTR DE 5 VIVIENDAS DE 2 Y 3 DORMITORIOS EN DIFERENTES SECTORES EN STO DGO</t>
  </si>
  <si>
    <t>MADELINE CANARIO OLIO</t>
  </si>
  <si>
    <t>CONSTRUCCION DE UNA PANADERIA REPOSTERIA EN SABANA LARGA, ELIAS PIÑA</t>
  </si>
  <si>
    <t>GAMUNDY CRUZ MADERA</t>
  </si>
  <si>
    <t>CONSTRUCCION DE 5 VIVIENDAS ECONOMICAS EN DIFERENTES SECTORES DE SANTIAGO</t>
  </si>
  <si>
    <t>MANUEL ANTONIO MERCEDES ESCOTO</t>
  </si>
  <si>
    <t>MIGUEL ANTONIO BERMUDEZ TORIBIO</t>
  </si>
  <si>
    <t>CONSTRUCCION,TERMINACION Y REPARACION DE 6 VIVIENDAS ECONOMICAS EN DIF. SECTORES,STGO</t>
  </si>
  <si>
    <t>SANTO ALOMAR MARIA UREÑA</t>
  </si>
  <si>
    <t>CONSTRUCCION DE CENTRO DE CONFECCION TEXTIL PEDRO GARCIA, SANTIAGO.</t>
  </si>
  <si>
    <t>FABIOLA HAYDEE REYES MATOS</t>
  </si>
  <si>
    <t>CONSTRUCCION  DE PANADERIA REPOSTERIA LA CUMBRE, SANTIAGO.</t>
  </si>
  <si>
    <t>COFEMONT, SRL</t>
  </si>
  <si>
    <t>CONSTR. DE PANADERIA REPOSTERIA LA LEONOR, PARAJE LA LEONOR MUNICIPIO SABANETA, SANTIAGO RODRIGUEZ.</t>
  </si>
  <si>
    <t>NEZARCA CONSTRUCTORA, SRL</t>
  </si>
  <si>
    <t>CONSTR. DE (4) VIVIENDAS ECONOMICAS EN DIF. SECTORES DE STO, DGO Y (1) EN SAN CRISTOBAL.</t>
  </si>
  <si>
    <t>CONSTR. DE PANADERIA REPOSTERIA Y SALON MULTIUSO LA BUENA ESPERANZA, EL PINO EN DAJABON.</t>
  </si>
  <si>
    <t>CONSTRUCTORA SOSANMA S.R.L</t>
  </si>
  <si>
    <t>AVANCE EL 20% DEL PROYECTO CONST.(2)VIVIENDAS ECONOMICAS EN DIF. SECTORES D/ PROV.HERMANAS MIRABAL.</t>
  </si>
  <si>
    <t>CONSTRUCCIONES PALOMINO S.R.L</t>
  </si>
  <si>
    <t>CONSTRUCTORA VIASAN &amp; ASOCIADOS, S.R.L.</t>
  </si>
  <si>
    <t>AVANCE 20% S/CONT.2023-041 P/TERMINACION CONSTRUCCION VIVIENDAS 4 STDO DGO Y 1 SAN CRISTOBAL.</t>
  </si>
  <si>
    <t>TERCOTECH S.R.L</t>
  </si>
  <si>
    <t>SANCHTE CONSTRUCTION AND BUILDING,S.R.L</t>
  </si>
  <si>
    <t>AVANCE 20% S/CONTRATO 2023-040 P/TERMINACION PABADERIA REPOST. SABANA LARGA ELIAS PIÑA</t>
  </si>
  <si>
    <t>GRUPO LUYAN S.R.L</t>
  </si>
  <si>
    <t>TOTAL</t>
  </si>
  <si>
    <t>cuenta no. 1104-01-001</t>
  </si>
  <si>
    <t>Anticipos en Compras</t>
  </si>
  <si>
    <t>FECHA</t>
  </si>
  <si>
    <t>NO. CHEQUE</t>
  </si>
  <si>
    <t>SUPLIDOR</t>
  </si>
  <si>
    <t>VALOR</t>
  </si>
  <si>
    <t>CONCEPTO</t>
  </si>
  <si>
    <t xml:space="preserve">SUIM SUPLIDORES INSTITUCIONALES </t>
  </si>
  <si>
    <t>AVANCE</t>
  </si>
  <si>
    <t>CUENTA 1104-01-004</t>
  </si>
  <si>
    <t>Intereses de cuenta Ahorros US$ BR</t>
  </si>
  <si>
    <t>CUENTAS POR COBRAR A EMPLEADOS</t>
  </si>
  <si>
    <t>No.</t>
  </si>
  <si>
    <t xml:space="preserve">NOMBRE </t>
  </si>
  <si>
    <t>CARGO</t>
  </si>
  <si>
    <t xml:space="preserve">MONTO TOTAL </t>
  </si>
  <si>
    <t xml:space="preserve">NO. DE CUOTAS </t>
  </si>
  <si>
    <t>MONTO DE LA CUOTA</t>
  </si>
  <si>
    <t>MONTO DE LAS CUOTAS DESCONTADAS</t>
  </si>
  <si>
    <t xml:space="preserve">BALANCE CXC </t>
  </si>
  <si>
    <t>ENCARGADO</t>
  </si>
  <si>
    <t>Cliente</t>
  </si>
  <si>
    <t>Superintendencia de Electricidad</t>
  </si>
  <si>
    <t>Comisión Nacional de Energía</t>
  </si>
  <si>
    <t>Cuenta  1104-02-998-011</t>
  </si>
  <si>
    <t>NOTA 4</t>
  </si>
  <si>
    <t>Existencias Almacén 1</t>
  </si>
  <si>
    <t>Sub-total existencias Almacén 1</t>
  </si>
  <si>
    <t>Existencias Almacén 2</t>
  </si>
  <si>
    <t>Ebanistería</t>
  </si>
  <si>
    <t>Herramientas</t>
  </si>
  <si>
    <t>Pintura</t>
  </si>
  <si>
    <t>Refrigeración</t>
  </si>
  <si>
    <t>Sub-total existencias Almacén 2</t>
  </si>
  <si>
    <t>NOTA 5</t>
  </si>
  <si>
    <t>Gastos pagados por anticipado</t>
  </si>
  <si>
    <t>Seguros de bienes</t>
  </si>
  <si>
    <t>Licencia Microsoft 365</t>
  </si>
  <si>
    <t>Licencia Mesa de Ayuda JIRA</t>
  </si>
  <si>
    <t>Licencia Anti Desastres</t>
  </si>
  <si>
    <t xml:space="preserve">Licencia de Software Adobe </t>
  </si>
  <si>
    <t>Seguros Reservas prepagado</t>
  </si>
  <si>
    <t>Licencias Microsoft</t>
  </si>
  <si>
    <t>Licencias Jira</t>
  </si>
  <si>
    <t>Licencias Adobbe</t>
  </si>
  <si>
    <t>Corrección periodos anteriores</t>
  </si>
  <si>
    <t>Nuevo balance</t>
  </si>
  <si>
    <t>Pólizas de Seguros de la Institución</t>
  </si>
  <si>
    <t>DESDE EL 31 OCT 2024 HASTA EL 31 OCT 2025</t>
  </si>
  <si>
    <t>FACTURA</t>
  </si>
  <si>
    <t>NO. PÓLIZA</t>
  </si>
  <si>
    <t>VALOR RD$</t>
  </si>
  <si>
    <t>002914829</t>
  </si>
  <si>
    <t>2-2-502-0278183</t>
  </si>
  <si>
    <t>002893273</t>
  </si>
  <si>
    <t>2-2-201-0061783</t>
  </si>
  <si>
    <t>002893193</t>
  </si>
  <si>
    <t>2-2-801-0047211</t>
  </si>
  <si>
    <t>002893251</t>
  </si>
  <si>
    <t>2-2-815-0013469</t>
  </si>
  <si>
    <t>002893252</t>
  </si>
  <si>
    <t>2-2-812-0013468</t>
  </si>
  <si>
    <t>002914836</t>
  </si>
  <si>
    <t>2-2-503-0278669</t>
  </si>
  <si>
    <t>Menos DESCUENTO</t>
  </si>
  <si>
    <t>PAGO Ck no. 39929, d/f 22-11-2024</t>
  </si>
  <si>
    <t>TOTAL PAGADO</t>
  </si>
  <si>
    <t>GASTO MENSUAL</t>
  </si>
  <si>
    <t>NOVIEMBRE Y DICIEMBRE 2024</t>
  </si>
  <si>
    <t>ENERO - MARZO 2025</t>
  </si>
  <si>
    <t>ABRIL - OCTUBRE 2025</t>
  </si>
  <si>
    <t>AMORTIZACIÓN NOV. / 2024</t>
  </si>
  <si>
    <t>AMORTIZACIÓN DIC. / 2024</t>
  </si>
  <si>
    <t>AMORTIZACIÓN ENERO / 2025</t>
  </si>
  <si>
    <t>AMORTIZACIÓN FEBRERO / 2025</t>
  </si>
  <si>
    <t>AMORTIZACIÓN ABRIL / 2025</t>
  </si>
  <si>
    <t>AMORTIZACIÓN MAYO / 2025</t>
  </si>
  <si>
    <t>AMORTIZACIÓN JUNIO / 2025</t>
  </si>
  <si>
    <t>AMORTIZACIÓN JULIO / 2025</t>
  </si>
  <si>
    <t>AMORTIZACIÓN AGOSTO / 2025</t>
  </si>
  <si>
    <t>AMORTIZACIÓN SEPTIEMBRE / 2025</t>
  </si>
  <si>
    <t>AMORTIZACIÓN OCTUBRE / 2025</t>
  </si>
  <si>
    <t>AMORTIZACIÓN NOVIEMBRE / 2025</t>
  </si>
  <si>
    <t>TOTAL AMORTIZADO</t>
  </si>
  <si>
    <t>BALANCE ACTUAL</t>
  </si>
  <si>
    <t>Licencia de Microsoft 365</t>
  </si>
  <si>
    <t>MICROSOFT OFFICE</t>
  </si>
  <si>
    <t>DURACIÓN</t>
  </si>
  <si>
    <t>LICENCIA MICROSOFT 365</t>
  </si>
  <si>
    <t>1  AÑO</t>
  </si>
  <si>
    <t>DOC. NO.</t>
  </si>
  <si>
    <t>D/F</t>
  </si>
  <si>
    <t>NEVER OFF TECHNOLOGY</t>
  </si>
  <si>
    <t>X  10  =</t>
  </si>
  <si>
    <t>2  MESES</t>
  </si>
  <si>
    <t>X  2  =</t>
  </si>
  <si>
    <t>AMORTIZACIÓN AGO./2024</t>
  </si>
  <si>
    <t>AMORTIZACIÓN FEB./2025</t>
  </si>
  <si>
    <t>DESDE EL 1 AGOSTO 2024 HASTA EL 31 JULIO 2025</t>
  </si>
  <si>
    <t>MESA DE AYUDA JIRA</t>
  </si>
  <si>
    <t>LICENCIA MESA DE AYUDA JIRA</t>
  </si>
  <si>
    <t>HISPANIOLA TECHNOLOGY</t>
  </si>
  <si>
    <t>FACT NO.  375. CK 39824</t>
  </si>
  <si>
    <t>AGOSTO - DICIEMBRE 2024</t>
  </si>
  <si>
    <t>5  MESES</t>
  </si>
  <si>
    <t>X  5  =</t>
  </si>
  <si>
    <t>ENERO   -   JULIO 2025</t>
  </si>
  <si>
    <t>7  MESES</t>
  </si>
  <si>
    <t>X  7  =</t>
  </si>
  <si>
    <t>AMORTIZACIÓN SEPT/2024</t>
  </si>
  <si>
    <t>AMORTIZACIÓN OCT/2024</t>
  </si>
  <si>
    <t>AMORTIZACIÓN NOV/2024</t>
  </si>
  <si>
    <t>AMORTIZACIÓN DIC/2024</t>
  </si>
  <si>
    <t>AMORTIZACIÓN ENE/2025</t>
  </si>
  <si>
    <t>AMORTIZACIÓN MAR./2025</t>
  </si>
  <si>
    <t>AMORTIZACIÓN ABR./2025</t>
  </si>
  <si>
    <t>AMORTIZACIÓN MAY./2025</t>
  </si>
  <si>
    <t>AMORTIZACIÓN JUN./2025</t>
  </si>
  <si>
    <t>AMORTIZACIÓN JUL./2025</t>
  </si>
  <si>
    <t>LICENCIA ANTI DESASTRES</t>
  </si>
  <si>
    <t>X  8  =</t>
  </si>
  <si>
    <t>Licencias ADOBE</t>
  </si>
  <si>
    <t>OC 6475</t>
  </si>
  <si>
    <t>Balance</t>
  </si>
  <si>
    <t>Nota 6</t>
  </si>
  <si>
    <t>Dividendos por Participación en las Empresas Reformadas</t>
  </si>
  <si>
    <t>Detalles</t>
  </si>
  <si>
    <t>Nota 7</t>
  </si>
  <si>
    <t>Avances a Futuras Capitalizaciones</t>
  </si>
  <si>
    <t>Detalle Avances a Futuras Capitalizaciones</t>
  </si>
  <si>
    <t>CHEQUE No.</t>
  </si>
  <si>
    <t>MONTO RD$</t>
  </si>
  <si>
    <t>LA TABACALERA</t>
  </si>
  <si>
    <t>Total RD$</t>
  </si>
  <si>
    <t>TOTAL LA TABACALERA</t>
  </si>
  <si>
    <t>NC 2641</t>
  </si>
  <si>
    <t>NC 2642</t>
  </si>
  <si>
    <t>TOTAL EDEESTE</t>
  </si>
  <si>
    <t>GRAND TOTAL</t>
  </si>
  <si>
    <t>FONDO PATRIMONIAL DE LAS EMP. REFORMADAS</t>
  </si>
  <si>
    <t>SUCURSAL   01</t>
  </si>
  <si>
    <t>FECHA DESDE.</t>
  </si>
  <si>
    <t>FECHA HASTA.</t>
  </si>
  <si>
    <t>BALANCE INICIAL</t>
  </si>
  <si>
    <t>PROVEEDOR     003071     LA TABACALERA, S. A.</t>
  </si>
  <si>
    <t>TIPO MOVI</t>
  </si>
  <si>
    <t>CHEQUE</t>
  </si>
  <si>
    <t>SALDO</t>
  </si>
  <si>
    <t>DEBITO</t>
  </si>
  <si>
    <t>Débito</t>
  </si>
  <si>
    <t>Totales</t>
  </si>
  <si>
    <t>PROVEEDOR    003130   EDEESTE</t>
  </si>
  <si>
    <t>Transf.</t>
  </si>
  <si>
    <t>NOTA 8</t>
  </si>
  <si>
    <t>Mobiliarios y Equipos, Neto</t>
  </si>
  <si>
    <t>Mobiliario y equipos de oficina</t>
  </si>
  <si>
    <t>Armas de fuego</t>
  </si>
  <si>
    <t>Equipos de transporte</t>
  </si>
  <si>
    <t>Total Activos Tangibles</t>
  </si>
  <si>
    <t>Software</t>
  </si>
  <si>
    <t>Total Activos Intangibles</t>
  </si>
  <si>
    <t>Total General</t>
  </si>
  <si>
    <t>Saldo inicial</t>
  </si>
  <si>
    <t>Adiciones</t>
  </si>
  <si>
    <t>Total costo de adquisición</t>
  </si>
  <si>
    <t>Depreciación acumulada</t>
  </si>
  <si>
    <t>Cargos del periodo</t>
  </si>
  <si>
    <t>Total depreciación acumulada</t>
  </si>
  <si>
    <t>Total Mobiliarios y Equipos, Neto</t>
  </si>
  <si>
    <t>NOTA 9</t>
  </si>
  <si>
    <t xml:space="preserve">Cuentas por pagar </t>
  </si>
  <si>
    <t xml:space="preserve">SERVICIOS GENERALES POR PAGAR </t>
  </si>
  <si>
    <t>NOTA 10</t>
  </si>
  <si>
    <t>Cuentas por pagar Contratistas y Servicios y Honorarios</t>
  </si>
  <si>
    <t>TOTAL CUENTAS POR PAGAR CONTRATISTAS</t>
  </si>
  <si>
    <t>CESAR ANDRES PICHARDO FERMIN</t>
  </si>
  <si>
    <t>NOTA 11</t>
  </si>
  <si>
    <t>Salarios por pagar</t>
  </si>
  <si>
    <t>Gratificaciones y bonificaciones por pagar</t>
  </si>
  <si>
    <t>Vacaciones por pagar</t>
  </si>
  <si>
    <t>Regalía pascual por pagar</t>
  </si>
  <si>
    <t>Detalle de Salarios por pagar</t>
  </si>
  <si>
    <t>Cálculo de la Provisión de Gratificaciones y Bonificaciones</t>
  </si>
  <si>
    <t>#</t>
  </si>
  <si>
    <t>Conceptos</t>
  </si>
  <si>
    <t>Nómina mensual</t>
  </si>
  <si>
    <t>Bono Aniversario (Fijos, Consejo, Militares) (1.0)</t>
  </si>
  <si>
    <t>Bono desempeño Fijos (1.0)</t>
  </si>
  <si>
    <t>Total bonificación anual proyectada</t>
  </si>
  <si>
    <t>Entre 12 meses</t>
  </si>
  <si>
    <t xml:space="preserve">   /  12  =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</si>
  <si>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</si>
  <si>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</si>
  <si>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</si>
  <si>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</si>
  <si>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</si>
  <si>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</si>
  <si>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</si>
  <si>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</si>
  <si>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</si>
  <si>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</si>
  <si>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acumulado</t>
  </si>
  <si>
    <t xml:space="preserve">Enero </t>
  </si>
  <si>
    <t>Cálculo de la provisión de Regalía Navideña</t>
  </si>
  <si>
    <t xml:space="preserve">Militares </t>
  </si>
  <si>
    <t xml:space="preserve">Fijos </t>
  </si>
  <si>
    <t xml:space="preserve">Consejo  </t>
  </si>
  <si>
    <t>Dividido / 12 meses =</t>
  </si>
  <si>
    <t>Provisión mensual</t>
  </si>
  <si>
    <t xml:space="preserve">Febrero </t>
  </si>
  <si>
    <t>NOTA 12</t>
  </si>
  <si>
    <t>Deducciones y Retenciones por pagar</t>
  </si>
  <si>
    <t>Retención impuesto sobre la renta proveedores</t>
  </si>
  <si>
    <t>Retención ITBIS</t>
  </si>
  <si>
    <t>Retención CODIA</t>
  </si>
  <si>
    <t>Retención FOPETCONS</t>
  </si>
  <si>
    <t>Nota 13</t>
  </si>
  <si>
    <t>Otras Cuentas por pagar</t>
  </si>
  <si>
    <t>cambios pendientes en los anexos del sistema</t>
  </si>
  <si>
    <t>orden de las columnas</t>
  </si>
  <si>
    <t>separar el certificado del banco agricola de las inversion en accion</t>
  </si>
  <si>
    <t>cambiar inventario por almacen de suministros e inventario de suministros</t>
  </si>
  <si>
    <t>cambiar la numeración de las notas</t>
  </si>
  <si>
    <t>poner una columna para las notas</t>
  </si>
  <si>
    <t>crear nota del capital institucional</t>
  </si>
  <si>
    <t>cambiar contrato de construccion por avance a contratista</t>
  </si>
  <si>
    <t>cambiar nombre de las columnas mes actual mes anteriror variacion / acumulado mes actual acumulado mes anterior</t>
  </si>
  <si>
    <t>cambiar partidas por cobrar por cuentas por cobrar</t>
  </si>
  <si>
    <t>donde dice intereses por cobar banco agricola esta mal escrito</t>
  </si>
  <si>
    <t xml:space="preserve">total de activo por total total propieda planta y equipo neto </t>
  </si>
  <si>
    <t>cambiar cerificado banco agricola por deposito a plazos (banco agricola)</t>
  </si>
  <si>
    <t xml:space="preserve">buscar notas hecha en excel para referencia </t>
  </si>
  <si>
    <t xml:space="preserve">AVANCE 20% PARA INICIAR PROYECTO DE REESTRUCTURACION SISTEMA DE AGUA Y AMPLIACION CUARTO DE BMBA DEL FONPER. </t>
  </si>
  <si>
    <t>AVANCE 20% PARA SUMINISTRO E INSTALACION LONA ASFALTICA Y FINO D TECHO AL EDIFICIO KASSE ACTA</t>
  </si>
  <si>
    <t>AMORTIZACIÓN AGO./2025</t>
  </si>
  <si>
    <t xml:space="preserve">CONTROL DE VACACIONES </t>
  </si>
  <si>
    <t xml:space="preserve">DÍAS 
PENDIENTES </t>
  </si>
  <si>
    <t>SALARIO</t>
  </si>
  <si>
    <t>SALARIO PROMEDIO</t>
  </si>
  <si>
    <t xml:space="preserve">Total a Disfrutar </t>
  </si>
  <si>
    <t>AIDA VICTORIA PARDILLA MARTINEZ</t>
  </si>
  <si>
    <t>ENCARGADA</t>
  </si>
  <si>
    <t>ADMINISTRADOR DE SERVICIOS TIC</t>
  </si>
  <si>
    <t>ANA ILDA NUÑEZ BATISTA</t>
  </si>
  <si>
    <t>ANALISTA DE GESTIÓN PATRIMONIAL II</t>
  </si>
  <si>
    <t>ANALISTA</t>
  </si>
  <si>
    <t>CARLOS JOSE RIVAS GARCIA</t>
  </si>
  <si>
    <t>CARLOS JULIO SUBERVI CARRASCO</t>
  </si>
  <si>
    <t>CARMEN JULIA PEREZ FERNANDEZ</t>
  </si>
  <si>
    <t>CONSERJE</t>
  </si>
  <si>
    <t>CLAUDIO ALBERTO MARTE MERCEDES</t>
  </si>
  <si>
    <t>DANIA RODRIGUEZ RODRIGUEZ</t>
  </si>
  <si>
    <t>DESIREE MARIN GARCIA</t>
  </si>
  <si>
    <t>COORDINADORA</t>
  </si>
  <si>
    <t>DIONICIO EMILIO GUERRERO PEREZ</t>
  </si>
  <si>
    <t>DOMINGO ALBERTO RODRIGUEZ</t>
  </si>
  <si>
    <t>CHOFER</t>
  </si>
  <si>
    <t>COORDINADOR</t>
  </si>
  <si>
    <t>AUXILIAR ADMINISTRATIVO</t>
  </si>
  <si>
    <t>EDWARD ALEXANDER AQUINO ALMONTE</t>
  </si>
  <si>
    <t>SOPORTE TECNICO</t>
  </si>
  <si>
    <t>ELIN ALBERTO PENA GERMAN</t>
  </si>
  <si>
    <t>ADMINISTRADOR DE OPERACIONES TIC</t>
  </si>
  <si>
    <t>ESKIBEL JAVIER SANCHEZ VIDAL</t>
  </si>
  <si>
    <t>EVANGELISTA EUGENIA PEREZ DE LOS SANTOS</t>
  </si>
  <si>
    <t>COORDINADOR (A) ADMINISTRATIVO</t>
  </si>
  <si>
    <t>FRANCIS GISELLE BUSSI INOA</t>
  </si>
  <si>
    <t>FRANSER DESIREE SOLIS DE LUNA</t>
  </si>
  <si>
    <t>FREDDY JOSE PEREYRA  ALBERTO</t>
  </si>
  <si>
    <t>FREDDY RADHAMES RODRIGUEZ DIAZ</t>
  </si>
  <si>
    <t>TÉCNICO ADMINISTRATIVO</t>
  </si>
  <si>
    <t>ILEANA SOLANYI MEDINA PERALTA</t>
  </si>
  <si>
    <t>MENSAJERA INTERNA</t>
  </si>
  <si>
    <t>ISMAEL VALENTIN PENA SANTOS</t>
  </si>
  <si>
    <t>MENSAJERO EXTERNO</t>
  </si>
  <si>
    <t>ANALISTA INFORMÁTICO</t>
  </si>
  <si>
    <t>PRESIDENTE</t>
  </si>
  <si>
    <t>JOSE MANUEL VALDEZ</t>
  </si>
  <si>
    <t>SUPERVISOR DE TRANSPORTACIÓN</t>
  </si>
  <si>
    <t>VICE-PRESIDENTE</t>
  </si>
  <si>
    <t>RELACIONISTA PUBLICO</t>
  </si>
  <si>
    <t>LELIA MARCELL MENDOZA LORA</t>
  </si>
  <si>
    <t>LEON ALTAGRACIA GOMEZ DIAZ</t>
  </si>
  <si>
    <t>ASESOR</t>
  </si>
  <si>
    <t>LICET IVANA BELTRE VALERA</t>
  </si>
  <si>
    <t>LISBET RODRIGUEZ GUZMAN</t>
  </si>
  <si>
    <t>LUIS ALFREDO FUCHU ARTILES</t>
  </si>
  <si>
    <t>LUIS ANTONIO MOQUETE PELLETIER</t>
  </si>
  <si>
    <t>DIRECTORA</t>
  </si>
  <si>
    <t>MARTHA ARELYS BEATO ABREU</t>
  </si>
  <si>
    <t>MAYRUBI LAZARO VALENZUELA</t>
  </si>
  <si>
    <t>MARINO ACOSTA GUANTE</t>
  </si>
  <si>
    <t>MERCEDES IVELICES GUZMAN VALERIO</t>
  </si>
  <si>
    <t>MIGUEL ALFONSO DE LA ROSA  ARIAS</t>
  </si>
  <si>
    <t>NADIA ROSA MARIA BAEZ LOPEZ</t>
  </si>
  <si>
    <t>NATHALI ROCIO RIVERA ORTIZ</t>
  </si>
  <si>
    <t>RECEPCIONISTA</t>
  </si>
  <si>
    <t>NICOLLE HARVEY PICHARDO</t>
  </si>
  <si>
    <t>NIKAURY ARACENA MEJIA</t>
  </si>
  <si>
    <t>NYSA MARIA FERREIRA BALBI</t>
  </si>
  <si>
    <t>OLIVER SORIANO OVIEDO</t>
  </si>
  <si>
    <t>INGENIERO DE ESTRUCTURA</t>
  </si>
  <si>
    <t>OMAR DE JESUS COHEN SANDER</t>
  </si>
  <si>
    <t>OSVALDO PEREZ PIMENTEL</t>
  </si>
  <si>
    <t>PEDRO DANIEL ESQUEA MONTILLA</t>
  </si>
  <si>
    <t>RAFAEL EDUARDO RAMIREZ ISIDOR</t>
  </si>
  <si>
    <t>RICHARD RAMON MEJIA MENDOZA</t>
  </si>
  <si>
    <t>ROSSY LISVERY VOLQUEZ PEREZ</t>
  </si>
  <si>
    <t>RUBEN DARIO ALMONTE MATEO</t>
  </si>
  <si>
    <t>SALVADOR YGNACIO RICOURT GOMEZ</t>
  </si>
  <si>
    <t>DIRECTOR</t>
  </si>
  <si>
    <t>SAMUEL JUNIOR ULLOA MARIANO</t>
  </si>
  <si>
    <t>SARITA MARTINEZ FROMETA</t>
  </si>
  <si>
    <t>SHANTAL MARIEL BAUTISTA PERREAUX</t>
  </si>
  <si>
    <t>COORDINADOR (A) DE INGENIERIA</t>
  </si>
  <si>
    <t>SOMNE ALTAGRACIA BAEZ TRINIDAD</t>
  </si>
  <si>
    <t>TOMAS AUGUSTO MENDOZA TORRES</t>
  </si>
  <si>
    <t>ABOGADO III</t>
  </si>
  <si>
    <t>VERONICA POLANCO REYNOSO</t>
  </si>
  <si>
    <t>WINSTON POLANCO ROBLES</t>
  </si>
  <si>
    <t>YANCARLOS HERNANDEZ ENCARNACION</t>
  </si>
  <si>
    <t>YANIL STEFANY MEJIA PIMENTEL</t>
  </si>
  <si>
    <t>Diciembre (ajuste)</t>
  </si>
  <si>
    <t>COMPAÑÍA DOMINICANA DE TELEFONOS</t>
  </si>
  <si>
    <t>Año 2025</t>
  </si>
  <si>
    <t>COLABORADORES AÑO 2025</t>
  </si>
  <si>
    <t>NOMBRE/APELLIDO</t>
  </si>
  <si>
    <t>Dias 2025</t>
  </si>
  <si>
    <t>Diciembre</t>
  </si>
  <si>
    <t>Dias pendiente a disfrutar 2025</t>
  </si>
  <si>
    <t>Ajuste pendiente</t>
  </si>
  <si>
    <t>Cada mes, en el 2025 será de</t>
  </si>
  <si>
    <t>Bonos a las secretarias</t>
  </si>
  <si>
    <t>Madres</t>
  </si>
  <si>
    <t>Padres</t>
  </si>
  <si>
    <t>Bono Navidad Fijos  (3.0)</t>
  </si>
  <si>
    <t>Bono Navidad Consejo  (3.0)</t>
  </si>
  <si>
    <t>Bono navidad militares (3)</t>
  </si>
  <si>
    <t>EDDY DOMINGUEZ</t>
  </si>
  <si>
    <t>REFRIASU LOGÍSTIC AND CONSTRUCTION, SRL</t>
  </si>
  <si>
    <t>BR - 9607919039</t>
  </si>
  <si>
    <t>Grupo 0008- Donaciones</t>
  </si>
  <si>
    <t>Material gastable</t>
  </si>
  <si>
    <t>Cuenta 1205</t>
  </si>
  <si>
    <t>VIÁTICOS VIAJES A LA TABACALERA, S. A.</t>
  </si>
  <si>
    <t>Total de Licencias</t>
  </si>
  <si>
    <t>Licencias:</t>
  </si>
  <si>
    <t>COMPENSACION COMBUSTIBLE POR PAGAR</t>
  </si>
  <si>
    <t xml:space="preserve">Monto </t>
  </si>
  <si>
    <t>MEM-DERS - Ene - Dic 2025</t>
  </si>
  <si>
    <t>EGE PUNTA CATALINA</t>
  </si>
  <si>
    <t>CERTIFICADOS FINANCIEROS EN BANCO DE RESERVAS DÓLARES A LA PAR</t>
  </si>
  <si>
    <t>CERTIFICADOS FINANCIEROS EN BANCO DE RESERVAS DÓLARES PRIMA</t>
  </si>
  <si>
    <t>PARTICIPACIÓN EN PUNTA CATALINA, NETO</t>
  </si>
  <si>
    <t>PARTICIPACIÓN EN EMPRESA DE GENERACIÓN ELÉCTRICA PUNTA CATALINA</t>
  </si>
  <si>
    <t>PARTICIPACIÓN EN OFICINA METROPOLITANA SERVICIOS DE AUTOBUSES (OMSA)</t>
  </si>
  <si>
    <t>PARTICIPACIÓN EN OMSA, NETO</t>
  </si>
  <si>
    <t>CUENTAS POR PAGAR COMBUSTIBLE</t>
  </si>
  <si>
    <t>CONTRIBUCIÓN A LA SEGURIDAD SOCIAL POR PAGAR</t>
  </si>
  <si>
    <t>Total pasivos corrientes</t>
  </si>
  <si>
    <t>EMPRESA DE GENERACIÓN ELÉCTRICA PUNTA CATALINA</t>
  </si>
  <si>
    <t>OFICINA METROPOLITANA DE SERVICIOS DE AUTOBUSES (OMSA)</t>
  </si>
  <si>
    <t>Mes</t>
  </si>
  <si>
    <t>Acumulado RD$</t>
  </si>
  <si>
    <t>Bono Escolar</t>
  </si>
  <si>
    <t>DESDE EL 1 MARZO 2025 HASTA EL 28 FEBRERO 2026</t>
  </si>
  <si>
    <t>LICENCIAS ADOBE</t>
  </si>
  <si>
    <t>Licencias de Software ADOBE</t>
  </si>
  <si>
    <t>DOMINET, SRL</t>
  </si>
  <si>
    <t>FACT # 00446</t>
  </si>
  <si>
    <t>MARZO - DICIEMBRE 2025</t>
  </si>
  <si>
    <t>10 MESES</t>
  </si>
  <si>
    <t>ENERO   -  FEBRERO 2026</t>
  </si>
  <si>
    <t>AMORTIZACIÓN MARZ/2025</t>
  </si>
  <si>
    <t>AMORTIZACIÓN ABR/2025</t>
  </si>
  <si>
    <t>AMORTIZACIÓN MAY/2025</t>
  </si>
  <si>
    <t>AMORTIZACIÓN JUN/2025</t>
  </si>
  <si>
    <t>AMORTIZACIÓN JUL/2025</t>
  </si>
  <si>
    <t>AMORTIZACIÓN AGO/2025</t>
  </si>
  <si>
    <t>AMORTIZACIÓN SEPT/2025</t>
  </si>
  <si>
    <t>AMORTIZACIÓN OCT/2025</t>
  </si>
  <si>
    <t>AMORTIZACIÓN NOV/2025</t>
  </si>
  <si>
    <t>AMORTIZACIÓN DIC/2025</t>
  </si>
  <si>
    <t>AMORTIZACIÓN ENE/2026</t>
  </si>
  <si>
    <t>AMORTIZACIÓN FEB/2026</t>
  </si>
  <si>
    <t>Marz-2025</t>
  </si>
  <si>
    <t>CK. NO.</t>
  </si>
  <si>
    <t>ALCE ODELL CACERES LEREBOURS</t>
  </si>
  <si>
    <t>ALEXANDER RAMIREZ SANTOS</t>
  </si>
  <si>
    <t>ANASTASIA ROSAURA  A AVILA UBRI</t>
  </si>
  <si>
    <t>CELIA MASSIEL CUEVAS JIMENEZ</t>
  </si>
  <si>
    <t>DIANA JOSEFINA ROSARIO POLANCO</t>
  </si>
  <si>
    <t>EDDY MIGUEL DOMINGUEZ LINARES</t>
  </si>
  <si>
    <t>EDGAR MOISES DUME PEPEN</t>
  </si>
  <si>
    <t>EDILI DAYELIS RAMIREZ RODRIGUEZ</t>
  </si>
  <si>
    <t>EDWIN JOHANNY JIMENEZ MARTINEZ</t>
  </si>
  <si>
    <t>FRANCISCA SANCHEZ DE SANCHEZ</t>
  </si>
  <si>
    <t>FREILYN LIZETH PEREZ DIAZ</t>
  </si>
  <si>
    <t>GERMAINE DANIELLE GAZON ROSARIO</t>
  </si>
  <si>
    <t>JESUS OMAR SANCHEZ TRINIDAD</t>
  </si>
  <si>
    <t>JORGE LUIS MATEO CASTILLO</t>
  </si>
  <si>
    <t>JOSE ANTONIO ALMONTE MARTE</t>
  </si>
  <si>
    <t>JOSE EURIPIDES FLORENTINO RODRIGUEZ</t>
  </si>
  <si>
    <t>JOSEFINA MERCEDES VEGA DE MONTES</t>
  </si>
  <si>
    <t>JUAN SANTANA HERNANDEZ</t>
  </si>
  <si>
    <t>LADY MARGARET ESPINAL ROMERO</t>
  </si>
  <si>
    <t>LEWIS ANTONIO MEDRANO MORLA</t>
  </si>
  <si>
    <t>TÉCNICO DE SERVICIOS GENERALES</t>
  </si>
  <si>
    <t>MARGARET RAMIREZ BAEZ</t>
  </si>
  <si>
    <t>MARLENY ALTAGRACIA MEDRANO RODRIGUEZ</t>
  </si>
  <si>
    <t>MASSIEL MEJIA GONZALEZ</t>
  </si>
  <si>
    <t>MAXIMO AUGUSTO PERALTA MOREL</t>
  </si>
  <si>
    <t>MILAGROS NAZARET PEREZ ROMERO</t>
  </si>
  <si>
    <t>ABOGADO II</t>
  </si>
  <si>
    <t>NIVIA CLARIBEL QUEZADA FELIZ DE PEÑA</t>
  </si>
  <si>
    <t>TÉCNICO DE RECURSOS HUMANOS</t>
  </si>
  <si>
    <t>ODALIS MARTE RODRIGUEZ</t>
  </si>
  <si>
    <t>ROSA ANTONIA PEREZ HEREDIA</t>
  </si>
  <si>
    <t>RUDDY LANI GARCIA ALCANTARA</t>
  </si>
  <si>
    <t>SILVIO JOSE PEREZ VALDEZ</t>
  </si>
  <si>
    <t>WILKIN BERNAN MATEO MATEO</t>
  </si>
  <si>
    <t>LAVADOR VEHICULOS</t>
  </si>
  <si>
    <t>Retenciones pendientes</t>
  </si>
  <si>
    <t>Contribución a la Seguridad Social por pagar</t>
  </si>
  <si>
    <t>OC #6654, FACT NO. 01-001176</t>
  </si>
  <si>
    <t>ABRIL  -   DICIEMBRE 2025</t>
  </si>
  <si>
    <t>ENERO   -   MARZO 2026</t>
  </si>
  <si>
    <t>X  9  =</t>
  </si>
  <si>
    <t>X  3  =</t>
  </si>
  <si>
    <t>3  MESES</t>
  </si>
  <si>
    <t>9  MESES</t>
  </si>
  <si>
    <t>AMORTIZACIÓN SEP./2025</t>
  </si>
  <si>
    <t>AMORTIZACIÓN OCT./2025</t>
  </si>
  <si>
    <t>AMORTIZACIÓN NOV./2025</t>
  </si>
  <si>
    <t>AMORTIZACIÓN DIC./2025</t>
  </si>
  <si>
    <t>AMORTIZACIÓN ENE./2026</t>
  </si>
  <si>
    <t>AMORTIZACIÓN FEB./2026</t>
  </si>
  <si>
    <t>AMORTIZACIÓN MAR/2026</t>
  </si>
  <si>
    <t>DESDE EL 11 DE ABRIL 2025 HASTA EL 31 MARZO 2026</t>
  </si>
  <si>
    <t>LICENCIA ALDABA Y LINKEDIN</t>
  </si>
  <si>
    <t>WST SOLUTIOS, SRL</t>
  </si>
  <si>
    <t>Licencia Aldaba y Linkedin</t>
  </si>
  <si>
    <t>CK 40056</t>
  </si>
  <si>
    <t>CK 40055</t>
  </si>
  <si>
    <t>TOTAL EDENORTE</t>
  </si>
  <si>
    <t>CUENTAS POR PAGAR POR RETENCIONES</t>
  </si>
  <si>
    <t>INVERSIONES FINANCIERAS A CORTO PLAZO:</t>
  </si>
  <si>
    <t>LABOQUIDOM</t>
  </si>
  <si>
    <t>COLECTOR DE IMPUESTOS INTERNOS</t>
  </si>
  <si>
    <r>
      <t xml:space="preserve">CONSTRUCCION LOTE #14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</si>
  <si>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CONSTRUCCION LOTE #12 DE 15 VIVIENDAS ECONOMICAS, EN SAN JUAN DE LA MAGUANA </t>
    </r>
    <r>
      <rPr>
        <b/>
        <sz val="12"/>
        <color indexed="17"/>
        <rFont val="Arial"/>
        <family val="2"/>
      </rPr>
      <t>240 VIVIENDAS</t>
    </r>
  </si>
  <si>
    <r>
      <t xml:space="preserve">SUPLIDOR DE SERVICIO: </t>
    </r>
    <r>
      <rPr>
        <b/>
        <sz val="12"/>
        <rFont val="Arial"/>
        <family val="2"/>
      </rPr>
      <t>QUANTUM</t>
    </r>
  </si>
  <si>
    <r>
      <t xml:space="preserve">ASEGURADORA: </t>
    </r>
    <r>
      <rPr>
        <b/>
        <sz val="12"/>
        <rFont val="Arial"/>
        <family val="2"/>
      </rPr>
      <t>SEGUROS BANRESERVAS</t>
    </r>
  </si>
  <si>
    <r>
      <t xml:space="preserve">SUPLIDOR DE SERVICIO: </t>
    </r>
    <r>
      <rPr>
        <b/>
        <sz val="12"/>
        <rFont val="Arial"/>
        <family val="2"/>
      </rPr>
      <t>WST SOLUTION</t>
    </r>
  </si>
  <si>
    <r>
      <t xml:space="preserve">SUPLIDOR DE SERVICIO: </t>
    </r>
    <r>
      <rPr>
        <b/>
        <sz val="12"/>
        <rFont val="Arial"/>
        <family val="2"/>
      </rPr>
      <t>NEVER OFF TECHNOLOGY</t>
    </r>
  </si>
  <si>
    <r>
      <t xml:space="preserve">SUPLIDOR DE SERVICIO: </t>
    </r>
    <r>
      <rPr>
        <b/>
        <sz val="12"/>
        <rFont val="Arial"/>
        <family val="2"/>
      </rPr>
      <t>HISPANIOLA TECHNOLOGY</t>
    </r>
  </si>
  <si>
    <t>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</si>
  <si>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</t>
  </si>
  <si>
    <t>PROCITROM, SRL</t>
  </si>
  <si>
    <t>FACT NO. 2025-012</t>
  </si>
  <si>
    <t>ALDABA Y LINKEDIN</t>
  </si>
  <si>
    <t>Total Provisión RD$</t>
  </si>
  <si>
    <t>PRIMA DE TRANSPORTE</t>
  </si>
  <si>
    <t>SERVICIOS DE LAVANDERÍA</t>
  </si>
  <si>
    <t>TRANSFERENCIA A OTRAS INSTITUCIONES PÚBLICAS</t>
  </si>
  <si>
    <r>
      <t xml:space="preserve">SUPLIDOR DE SERVICIO: </t>
    </r>
    <r>
      <rPr>
        <b/>
        <sz val="12"/>
        <rFont val="Arial"/>
        <family val="2"/>
      </rPr>
      <t>DOMINET, SRL</t>
    </r>
  </si>
  <si>
    <t>Dep. Acum. Mob y eq de oficina</t>
  </si>
  <si>
    <t>Dep. Acum. Equipos de transp</t>
  </si>
  <si>
    <t>Dep. Acum. Armas de fuego</t>
  </si>
  <si>
    <t>COORDINADOR (A) DE GESTION PATRIMONIAL</t>
  </si>
  <si>
    <t>EGE ITABO</t>
  </si>
  <si>
    <t>TOTAL EDESUR</t>
  </si>
  <si>
    <t>CK 40109</t>
  </si>
  <si>
    <t>BANCO DE RESERVAS (CUENTA OPERACIONAL)</t>
  </si>
  <si>
    <t>BANCO DE RESERVAS (CUENTA NÓMINA)</t>
  </si>
  <si>
    <t xml:space="preserve">BANCO DE RESERVAS CUENTA AHORRO DÓLARES PRIMA </t>
  </si>
  <si>
    <t>BANCO DE RESERVAS CUENTA AHORRO DÓLARES A LA PAR</t>
  </si>
  <si>
    <t>BANCO DE RESERVAS DEPÓSITOS A PLAZO (PESOS)</t>
  </si>
  <si>
    <t>TOTAL INVERSIONES FINANCIERAS A CORTO PLAZO</t>
  </si>
  <si>
    <t>CUENTAS Y DOCUMENTOS POR COBRAR A CORTO PLAZO:</t>
  </si>
  <si>
    <t>TOTAL CUENTAS Y DOCUMENTOS POR COBRAR A CORTO PLAZO</t>
  </si>
  <si>
    <t>INVENTARIOS:</t>
  </si>
  <si>
    <t>TOTAL INVENTARIOS</t>
  </si>
  <si>
    <t>TOTAL CUENTAS POR PAGAR</t>
  </si>
  <si>
    <t>CUENTAS POR PAGAR SERVICIOS GENERALES</t>
  </si>
  <si>
    <t>DESEMBOLSOS POR ACUERDOS CON INSTITUCIONES</t>
  </si>
  <si>
    <t>CUENTAS POR PAGAR CONTRATISTAS, SERVICIOS Y HONORARIOS:</t>
  </si>
  <si>
    <t>TOTAL CUENTAS POR PAGAR CONTRATISTAS, SERVICIOS Y HONORARIOS</t>
  </si>
  <si>
    <t>SERVICIOS Y HONORARIOS</t>
  </si>
  <si>
    <t>RETENCIÓN IMPUESTO SOBRE LA RENTA PROVEEDORES</t>
  </si>
  <si>
    <t>RETENCIÓN IMPUESTO SOBRE LA RENTA EMPLEADOS</t>
  </si>
  <si>
    <t>OTRAS CUENTAS POR PAGAR A CORTO PLAZO:</t>
  </si>
  <si>
    <t>TOTAL OTRAS CUENTAS POR PAGAR A CORTO PLAZO</t>
  </si>
  <si>
    <t>Nota 14</t>
  </si>
  <si>
    <t>% De Participación</t>
  </si>
  <si>
    <t>Cantidad de Acciones</t>
  </si>
  <si>
    <t>Monto total de aporte</t>
  </si>
  <si>
    <t>Empresa</t>
  </si>
  <si>
    <t>INGRESO POR PARTICIPACIÓN EMPRESA GENERACIÓN ELÉCTRICA PUNTA CATALINA</t>
  </si>
  <si>
    <t>PAGO DE VACACIONES</t>
  </si>
  <si>
    <t>CONTRIBUCIÓN A EMPLEADO POR GASTOS FÚNEBRES</t>
  </si>
  <si>
    <t>Transferencias a instituciones gubernamentales</t>
  </si>
  <si>
    <t>TRANSFERENCIAS A INSTITUCIONES GUBERNAMENTALES:</t>
  </si>
  <si>
    <t>Inventarios</t>
  </si>
  <si>
    <t>Grupo 0042- Productos diversos</t>
  </si>
  <si>
    <t xml:space="preserve">Grupo 001- Útiles de oficina </t>
  </si>
  <si>
    <t>Grupo 023- Útiles de oficina poco uso</t>
  </si>
  <si>
    <t xml:space="preserve">Grupo 002- Útiles de cocina </t>
  </si>
  <si>
    <t>Grupo 004- Útiles de limpieza</t>
  </si>
  <si>
    <t>Grupo 0043- Alimentos y bebidas</t>
  </si>
  <si>
    <t>Grupo 0045- Cartuchos y tóner</t>
  </si>
  <si>
    <t>AMORTIZACIÓN MARZO / 2025</t>
  </si>
  <si>
    <t>Compensación horas extras</t>
  </si>
  <si>
    <t>Compensación almuerzo a militares</t>
  </si>
  <si>
    <t>Compensación almuerzo a empleados fijos</t>
  </si>
  <si>
    <t>INGRESOS PARTICIPACIÓN EN LAS EMPRESAS REFORMADAS:</t>
  </si>
  <si>
    <t>TOTAL INGRESOS PARTICIPACIÓN EN LAS EMPRESAS REFORMADAS</t>
  </si>
  <si>
    <t>JIMENEZ ALBA Y ASOCIADOS SRL</t>
  </si>
  <si>
    <t>DESDE EL 1 AGOSTO 2025 HASTA EL 31 JULIO 2026</t>
  </si>
  <si>
    <t>FACT NO.  01-001478.</t>
  </si>
  <si>
    <t>AGOSTO - DICIEMBRE 2025</t>
  </si>
  <si>
    <t>ENERO   -   JULIO 2026</t>
  </si>
  <si>
    <t>AMORTIZACIÓN MAR./2026</t>
  </si>
  <si>
    <t>AMORTIZACIÓN ABR./2026</t>
  </si>
  <si>
    <t>AMORTIZACIÓN MAY./2026</t>
  </si>
  <si>
    <t>AMORTIZACIÓN JUN./2026</t>
  </si>
  <si>
    <t>AMORTIZACIÓN JUL./2026</t>
  </si>
  <si>
    <r>
      <t xml:space="preserve">SUPLIDOR DE SERVICIO: </t>
    </r>
    <r>
      <rPr>
        <b/>
        <sz val="12"/>
        <rFont val="Arial"/>
        <family val="2"/>
      </rPr>
      <t>VLEX NETWORK, SL</t>
    </r>
  </si>
  <si>
    <t>Licencias Plataforma Vincent IA</t>
  </si>
  <si>
    <t>FACT # 005724</t>
  </si>
  <si>
    <t>VLEX NETWORK, SL</t>
  </si>
  <si>
    <t>Ago-2025</t>
  </si>
  <si>
    <t>5 MESES</t>
  </si>
  <si>
    <t>ENERO   -  JULIO 2026</t>
  </si>
  <si>
    <t>AMORTIZACIÓN ABR/2026</t>
  </si>
  <si>
    <t>AMORTIZACIÓN MAY/2026</t>
  </si>
  <si>
    <t>AMORTIZACIÓN JUN/2026</t>
  </si>
  <si>
    <t>AMORTIZACIÓN JUL/2027</t>
  </si>
  <si>
    <t>Licencia de Vincent IA</t>
  </si>
  <si>
    <r>
      <t xml:space="preserve">LICENCIAS PLATAFORMA </t>
    </r>
    <r>
      <rPr>
        <b/>
        <sz val="11"/>
        <color rgb="FFFF0000"/>
        <rFont val="Arial"/>
        <family val="2"/>
      </rPr>
      <t>VLEX &amp; VINCENT IA</t>
    </r>
  </si>
  <si>
    <t>Agosto 2025</t>
  </si>
  <si>
    <t>EGE HAINA</t>
  </si>
  <si>
    <t>CK 40147</t>
  </si>
  <si>
    <t>BR - 9608682696</t>
  </si>
  <si>
    <t>20% DE INICIAL PARA LA CONSTRUCCION DE ASCENSOR DE CARGA PARA EL EDIFICIO RAFAEL KASSE ACTA.</t>
  </si>
  <si>
    <t>20% DE INICIAL PARA LA CONSTRUCCION DEL LOBBY Y AREAS EXTERIORES DEL EDIFICIO RAFAEL KASSE ACTA.</t>
  </si>
  <si>
    <t>Grupo 0044- Material timbrado</t>
  </si>
  <si>
    <t>Materiales eléctricos</t>
  </si>
  <si>
    <t>Materiales Plomería</t>
  </si>
  <si>
    <t>BIBIAMS EVANGELISTA MEJIA</t>
  </si>
  <si>
    <t>TÉCNICO DE CONTABILIDAD</t>
  </si>
  <si>
    <t>JHONNY ALTAGRACIA SANTILIS</t>
  </si>
  <si>
    <t>AUXILIAR DE SERVICIOS GENERALES</t>
  </si>
  <si>
    <t>LORAINE RAQUEL MALDONADO DE MARTE</t>
  </si>
  <si>
    <t>ABOGADO I</t>
  </si>
  <si>
    <t>LUIS FERNANDO TEJADA BONILLA</t>
  </si>
  <si>
    <t>ANALISTA DE CUMPLIMIENTO</t>
  </si>
  <si>
    <t>ANALISTA  ADMINISTRATIVO</t>
  </si>
  <si>
    <t>CUENTAS POR PAGAR PROVEEDORES NACIONALES</t>
  </si>
  <si>
    <t>PRIMA CTAS POR PAGAR PROVEEDORES INTERNAC</t>
  </si>
  <si>
    <t>Dieta seguridad fines de semana</t>
  </si>
  <si>
    <t>PHICET, SRL</t>
  </si>
  <si>
    <t>GRUPO LUYAN, SRL</t>
  </si>
  <si>
    <t xml:space="preserve">Cuentas por pagar Contratistas y Servicios </t>
  </si>
  <si>
    <t>CUENTAS PAGAR PROVEEDORES INTERNACIONALES</t>
  </si>
  <si>
    <t>COMBUSTIBLE POR PAGAR</t>
  </si>
  <si>
    <t>FLOTILLA COMBUSTIBLE POR PAGAR</t>
  </si>
  <si>
    <t>AL 30 DE SEPTIEMBRE DEL 2025</t>
  </si>
  <si>
    <t xml:space="preserve">    /  12   =</t>
  </si>
  <si>
    <t>Considerado en septiembre. 25</t>
  </si>
  <si>
    <t>Considerado en septiemb 25</t>
  </si>
  <si>
    <t>Pago vacaciones sep25</t>
  </si>
  <si>
    <t>Incentivo vacaciones sep25</t>
  </si>
  <si>
    <t>Ajuste a realizar</t>
  </si>
  <si>
    <t>LUIS MOQUETE</t>
  </si>
  <si>
    <t>WADY ARTURO VICIOSO SOSA</t>
  </si>
  <si>
    <t>SOC. DE ABOGADOS LEÓN Y RAFUL SALERA SRL</t>
  </si>
  <si>
    <t>Honorarios contratados por pagar</t>
  </si>
  <si>
    <t>Cedula 12 (al lado)</t>
  </si>
  <si>
    <t>HONORARIOS PARA SUPERVISAR OBRAS</t>
  </si>
  <si>
    <t>HONORARIOS CONTRATADOS POR PAGAR</t>
  </si>
  <si>
    <t>Septiembre 2025</t>
  </si>
  <si>
    <t>BDO ESENFA</t>
  </si>
  <si>
    <t>TRAVELWISE CONSULTORES</t>
  </si>
  <si>
    <t>SOLUCIONES INTEGRALES</t>
  </si>
  <si>
    <t>SENASA</t>
  </si>
  <si>
    <t>FUMIGADORA PAREDES, SRL</t>
  </si>
  <si>
    <t>RR JIMENEZ SMART SUPPLY, SRL</t>
  </si>
  <si>
    <t>REFERENCIA LABORATORIO CLINICO</t>
  </si>
  <si>
    <t>VLEX NETWORKS, SL  US$</t>
  </si>
  <si>
    <t>PRIMA C x P SUPLIDOR VLEX NETWORK, SL</t>
  </si>
  <si>
    <t>SR. JOSE E. FLORENTINO</t>
  </si>
  <si>
    <t>COLECTOR DE IMPUESTOS INTERNOS (IR-3)</t>
  </si>
  <si>
    <t>SUPLIDORES INTERNACIONALES POR PAGAR US$</t>
  </si>
  <si>
    <t>Cuentas por pagar Contratistas y Servicios</t>
  </si>
  <si>
    <t>Cuentas por pagar Honorarios</t>
  </si>
  <si>
    <t>INGENIERIA M GONZALEZ &amp; POLANCO, SRL</t>
  </si>
  <si>
    <t>LOURDES YNMACULADA D OLEO</t>
  </si>
  <si>
    <t xml:space="preserve">Ck 40063 </t>
  </si>
  <si>
    <t>TOTAL LABOQUIDOM</t>
  </si>
  <si>
    <t>ND 4900 US$400,000</t>
  </si>
  <si>
    <t>DONACIONES A INSTITUCIONES GUBERNAMENTALES</t>
  </si>
  <si>
    <t>Retención impuesto sobre la renta empleados (IR 3 - sept25)</t>
  </si>
  <si>
    <t>RELACIÓN DE DESCUENTOS</t>
  </si>
  <si>
    <t>Seguro médico internacional</t>
  </si>
  <si>
    <t>Adquisición teléfono</t>
  </si>
  <si>
    <t>CLUB DE MADRES PATRONATO LA MILAGROSA AMOR</t>
  </si>
  <si>
    <t>AVANCE 20%, EJECUCIÓN DE LA OBRA READECUACIÓN DE BAÑOS Y COCINAS DEL FONPER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</si>
</sst>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_R_D_$_-;\-* #,##0.00_R_D_$_-;_-* &quot;-&quot;??_R_D_$_-;_-@_-"/>
    <numFmt numFmtId="166" formatCode="mmmm\ \-\ yyyy"/>
    <numFmt numFmtId="167" formatCode="_-* #,##0.00\ _P_t_s_-;\-* #,##0.00\ _P_t_s_-;_-* &quot;-&quot;??\ _P_t_s_-;_-@_-"/>
    <numFmt numFmtId="168" formatCode="_(* #,##0_);_(* \(#,##0\);_(* &quot;-&quot;??_);_(@_)"/>
    <numFmt numFmtId="169" formatCode="0.000000000"/>
    <numFmt numFmtId="170" formatCode="0.0000000000"/>
    <numFmt numFmtId="171" formatCode="0000\-00\-00"/>
    <numFmt numFmtId="172" formatCode="[$-409]d\-mmm\-yy;@"/>
    <numFmt numFmtId="173" formatCode="[$-409]dd\-mmm\-yy;@"/>
    <numFmt numFmtId="174" formatCode="_(* #,##0.000000_);_(* \(#,##0.000000\);_(* &quot;-&quot;??_);_(@_)"/>
    <numFmt numFmtId="175" formatCode="_(* #,##0.000000000_);_(* \(#,##0.000000000\);_(* &quot;-&quot;??_);_(@_)"/>
  </numFmts>
  <fonts count="1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sz val="14"/>
      <color rgb="FFFF0000"/>
      <name val="Arial"/>
      <family val="2"/>
    </font>
    <font>
      <b/>
      <sz val="14"/>
      <color theme="4" tint="-0.249977111117893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2"/>
      <color theme="2" tint="-0.499984740745262"/>
      <name val="Arial"/>
      <family val="2"/>
    </font>
    <font>
      <b/>
      <sz val="8"/>
      <name val="Arial"/>
      <family val="2"/>
    </font>
    <font>
      <b/>
      <u val="doubleAccounting"/>
      <sz val="12"/>
      <name val="Arial"/>
      <family val="2"/>
    </font>
    <font>
      <u val="singleAccounting"/>
      <sz val="12"/>
      <name val="Arial"/>
      <family val="2"/>
    </font>
    <font>
      <i/>
      <sz val="9"/>
      <color rgb="FFFF0000"/>
      <name val="Arial"/>
      <family val="2"/>
    </font>
    <font>
      <u val="singleAccounting"/>
      <sz val="12"/>
      <color theme="1"/>
      <name val="Arial"/>
      <family val="2"/>
    </font>
    <font>
      <b/>
      <u val="doubleAccounting"/>
      <sz val="12"/>
      <color theme="1"/>
      <name val="Arial"/>
      <family val="2"/>
    </font>
    <font>
      <b/>
      <sz val="12"/>
      <color indexed="17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u/>
      <sz val="12"/>
      <color theme="1"/>
      <name val="Arial"/>
      <family val="2"/>
    </font>
    <font>
      <b/>
      <u val="double"/>
      <sz val="12"/>
      <name val="Arial"/>
      <family val="2"/>
    </font>
    <font>
      <u val="doubleAccounting"/>
      <sz val="12"/>
      <color theme="1"/>
      <name val="Arial"/>
      <family val="2"/>
    </font>
    <font>
      <b/>
      <sz val="14"/>
      <color rgb="FFFF0000"/>
      <name val="Arial"/>
      <family val="2"/>
    </font>
    <font>
      <b/>
      <u val="singleAccounting"/>
      <sz val="12"/>
      <color theme="1"/>
      <name val="Arial"/>
      <family val="2"/>
    </font>
    <font>
      <sz val="12"/>
      <color rgb="FF000000"/>
      <name val="Arial"/>
      <family val="2"/>
    </font>
    <font>
      <u val="singleAccounting"/>
      <sz val="12"/>
      <color rgb="FFFF0000"/>
      <name val="Arial"/>
      <family val="2"/>
    </font>
    <font>
      <b/>
      <sz val="12"/>
      <color theme="8" tint="-0.249977111117893"/>
      <name val="Arial"/>
      <family val="2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i/>
      <u/>
      <sz val="12"/>
      <color rgb="FFFF0000"/>
      <name val="Arial"/>
      <family val="2"/>
    </font>
    <font>
      <u val="singleAccounting"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 val="singleAccounting"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 Rounded MT Bold"/>
      <family val="2"/>
    </font>
    <font>
      <b/>
      <sz val="18"/>
      <color theme="1"/>
      <name val="Arial Rounded MT Bold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name val="Calibri"/>
      <family val="2"/>
      <scheme val="minor"/>
    </font>
    <font>
      <sz val="15"/>
      <name val="Calibri"/>
      <family val="2"/>
      <scheme val="minor"/>
    </font>
    <font>
      <sz val="15"/>
      <name val="Arial"/>
      <family val="2"/>
    </font>
    <font>
      <u val="singleAccounting"/>
      <sz val="15"/>
      <name val="Arial"/>
      <family val="2"/>
    </font>
    <font>
      <u val="doubleAccounting"/>
      <sz val="15"/>
      <name val="Arial"/>
      <family val="2"/>
    </font>
    <font>
      <sz val="13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 val="singleAccounting"/>
      <sz val="14"/>
      <name val="Arial"/>
      <family val="2"/>
    </font>
    <font>
      <b/>
      <u val="doubleAccounting"/>
      <sz val="14"/>
      <name val="Arial"/>
      <family val="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43">
    <xf numFmtId="0" fontId="0" fillId="0" borderId="0"/>
    <xf numFmtId="43" fontId="7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7" fontId="74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78" fillId="0" borderId="0" applyFont="0" applyFill="0" applyBorder="0" applyAlignment="0" applyProtection="0"/>
    <xf numFmtId="171" fontId="74" fillId="0" borderId="0" applyFont="0" applyFill="0" applyBorder="0" applyAlignment="0" applyProtection="0"/>
    <xf numFmtId="165" fontId="78" fillId="0" borderId="0" applyFont="0" applyFill="0" applyBorder="0" applyAlignment="0" applyProtection="0"/>
    <xf numFmtId="17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9" fillId="2" borderId="0" applyNumberFormat="0" applyBorder="0" applyAlignment="0" applyProtection="0"/>
    <xf numFmtId="0" fontId="79" fillId="2" borderId="0" applyNumberFormat="0" applyBorder="0" applyAlignment="0" applyProtection="0"/>
    <xf numFmtId="0" fontId="79" fillId="2" borderId="0" applyNumberFormat="0" applyBorder="0" applyAlignment="0" applyProtection="0"/>
    <xf numFmtId="0" fontId="79" fillId="2" borderId="0" applyNumberFormat="0" applyBorder="0" applyAlignment="0" applyProtection="0"/>
    <xf numFmtId="0" fontId="78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7" fillId="0" borderId="0"/>
    <xf numFmtId="0" fontId="74" fillId="0" borderId="0"/>
    <xf numFmtId="0" fontId="76" fillId="3" borderId="31" applyNumberFormat="0" applyFont="0" applyAlignment="0" applyProtection="0"/>
    <xf numFmtId="0" fontId="78" fillId="3" borderId="31" applyNumberFormat="0" applyFont="0" applyAlignment="0" applyProtection="0"/>
    <xf numFmtId="9" fontId="78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32" applyNumberFormat="0" applyFill="0" applyAlignment="0" applyProtection="0"/>
    <xf numFmtId="0" fontId="73" fillId="0" borderId="0"/>
    <xf numFmtId="43" fontId="73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0" fontId="70" fillId="0" borderId="0"/>
    <xf numFmtId="43" fontId="70" fillId="0" borderId="0" applyFont="0" applyFill="0" applyBorder="0" applyAlignment="0" applyProtection="0"/>
    <xf numFmtId="0" fontId="69" fillId="0" borderId="0"/>
    <xf numFmtId="9" fontId="82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74" fillId="0" borderId="0"/>
    <xf numFmtId="43" fontId="74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9" fillId="2" borderId="0" applyNumberFormat="0" applyBorder="0" applyAlignment="0" applyProtection="0"/>
    <xf numFmtId="0" fontId="68" fillId="0" borderId="0"/>
    <xf numFmtId="0" fontId="68" fillId="3" borderId="31" applyNumberFormat="0" applyFont="0" applyAlignment="0" applyProtection="0"/>
    <xf numFmtId="9" fontId="68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68" fillId="0" borderId="0"/>
    <xf numFmtId="9" fontId="74" fillId="0" borderId="0" applyFont="0" applyFill="0" applyBorder="0" applyAlignment="0" applyProtection="0"/>
    <xf numFmtId="0" fontId="67" fillId="0" borderId="0"/>
    <xf numFmtId="43" fontId="67" fillId="0" borderId="0" applyFont="0" applyFill="0" applyBorder="0" applyAlignment="0" applyProtection="0"/>
    <xf numFmtId="0" fontId="66" fillId="0" borderId="0"/>
    <xf numFmtId="0" fontId="65" fillId="0" borderId="0"/>
    <xf numFmtId="0" fontId="64" fillId="0" borderId="0"/>
    <xf numFmtId="0" fontId="63" fillId="0" borderId="0"/>
    <xf numFmtId="0" fontId="84" fillId="0" borderId="0" applyNumberFormat="0" applyFill="0" applyBorder="0" applyAlignment="0" applyProtection="0"/>
    <xf numFmtId="0" fontId="62" fillId="0" borderId="0"/>
    <xf numFmtId="0" fontId="61" fillId="0" borderId="0"/>
    <xf numFmtId="0" fontId="60" fillId="0" borderId="0"/>
    <xf numFmtId="43" fontId="60" fillId="0" borderId="0" applyFont="0" applyFill="0" applyBorder="0" applyAlignment="0" applyProtection="0"/>
    <xf numFmtId="0" fontId="59" fillId="0" borderId="0"/>
    <xf numFmtId="0" fontId="58" fillId="0" borderId="0"/>
    <xf numFmtId="0" fontId="57" fillId="0" borderId="0"/>
    <xf numFmtId="0" fontId="56" fillId="0" borderId="0"/>
    <xf numFmtId="43" fontId="56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0" fontId="52" fillId="0" borderId="0"/>
    <xf numFmtId="0" fontId="51" fillId="0" borderId="0"/>
    <xf numFmtId="0" fontId="50" fillId="0" borderId="0"/>
    <xf numFmtId="43" fontId="50" fillId="0" borderId="0" applyFont="0" applyFill="0" applyBorder="0" applyAlignment="0" applyProtection="0"/>
    <xf numFmtId="0" fontId="49" fillId="0" borderId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46" fillId="0" borderId="0"/>
    <xf numFmtId="0" fontId="45" fillId="0" borderId="0"/>
    <xf numFmtId="43" fontId="45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85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0" fontId="37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0" fontId="31" fillId="0" borderId="0"/>
    <xf numFmtId="0" fontId="74" fillId="0" borderId="0"/>
    <xf numFmtId="43" fontId="74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79" fillId="2" borderId="0" applyNumberFormat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9" fontId="74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1" fillId="3" borderId="31" applyNumberFormat="0" applyFont="0" applyAlignment="0" applyProtection="0"/>
    <xf numFmtId="9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74" fillId="0" borderId="0"/>
    <xf numFmtId="43" fontId="74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30" fillId="3" borderId="31" applyNumberFormat="0" applyFon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29" fillId="3" borderId="31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8" fillId="0" borderId="0"/>
    <xf numFmtId="0" fontId="27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3" borderId="3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3" borderId="31" applyNumberFormat="0" applyFont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3" borderId="31" applyNumberFormat="0" applyFont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3" borderId="31" applyNumberFormat="0" applyFont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3" borderId="31" applyNumberFormat="0" applyFont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3" borderId="31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3" borderId="31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3" borderId="31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74" fillId="0" borderId="0"/>
    <xf numFmtId="43" fontId="74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79" fillId="2" borderId="0" applyNumberFormat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7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3" borderId="31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74" fillId="0" borderId="0"/>
    <xf numFmtId="0" fontId="10" fillId="0" borderId="0"/>
    <xf numFmtId="0" fontId="9" fillId="0" borderId="0"/>
    <xf numFmtId="0" fontId="74" fillId="0" borderId="0"/>
    <xf numFmtId="43" fontId="74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9" fillId="2" borderId="0" applyNumberFormat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9" fontId="7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3" borderId="3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670">
    <xf numFmtId="0" fontId="0" fillId="0" borderId="0" xfId="0"/>
    <xf numFmtId="0" fontId="74" fillId="0" borderId="0" xfId="0" applyFont="1"/>
    <xf numFmtId="4" fontId="86" fillId="0" borderId="0" xfId="238" applyNumberFormat="1" applyFont="1"/>
    <xf numFmtId="4" fontId="86" fillId="0" borderId="2" xfId="238" applyNumberFormat="1" applyFont="1" applyBorder="1"/>
    <xf numFmtId="0" fontId="87" fillId="0" borderId="0" xfId="0" applyFont="1"/>
    <xf numFmtId="0" fontId="87" fillId="0" borderId="0" xfId="0" applyFont="1" applyAlignment="1">
      <alignment horizontal="center"/>
    </xf>
    <xf numFmtId="43" fontId="87" fillId="0" borderId="0" xfId="4" applyFont="1" applyFill="1"/>
    <xf numFmtId="0" fontId="88" fillId="0" borderId="0" xfId="0" applyFont="1"/>
    <xf numFmtId="43" fontId="89" fillId="0" borderId="0" xfId="4" applyFont="1" applyFill="1"/>
    <xf numFmtId="0" fontId="89" fillId="0" borderId="0" xfId="0" applyFont="1"/>
    <xf numFmtId="43" fontId="88" fillId="0" borderId="13" xfId="4" applyFont="1" applyFill="1" applyBorder="1" applyAlignment="1">
      <alignment horizontal="center" vertical="center" wrapText="1"/>
    </xf>
    <xf numFmtId="43" fontId="86" fillId="0" borderId="0" xfId="4" applyFont="1" applyFill="1"/>
    <xf numFmtId="0" fontId="91" fillId="0" borderId="0" xfId="0" applyFont="1" applyAlignment="1">
      <alignment vertical="center"/>
    </xf>
    <xf numFmtId="43" fontId="87" fillId="0" borderId="0" xfId="4" applyFont="1" applyFill="1" applyAlignment="1">
      <alignment vertical="center"/>
    </xf>
    <xf numFmtId="43" fontId="86" fillId="0" borderId="0" xfId="4" applyFont="1" applyFill="1" applyAlignment="1">
      <alignment vertical="center"/>
    </xf>
    <xf numFmtId="0" fontId="87" fillId="0" borderId="0" xfId="0" applyFont="1" applyAlignment="1">
      <alignment vertical="center"/>
    </xf>
    <xf numFmtId="0" fontId="87" fillId="0" borderId="0" xfId="0" applyFont="1" applyAlignment="1">
      <alignment horizontal="left" wrapText="1"/>
    </xf>
    <xf numFmtId="0" fontId="87" fillId="0" borderId="0" xfId="0" quotePrefix="1" applyFont="1" applyAlignment="1">
      <alignment horizontal="left"/>
    </xf>
    <xf numFmtId="43" fontId="91" fillId="0" borderId="0" xfId="4" applyFont="1" applyFill="1" applyAlignment="1">
      <alignment vertical="center"/>
    </xf>
    <xf numFmtId="43" fontId="90" fillId="0" borderId="0" xfId="4" applyFont="1" applyFill="1" applyAlignment="1">
      <alignment vertical="center"/>
    </xf>
    <xf numFmtId="43" fontId="92" fillId="0" borderId="0" xfId="4" applyFont="1" applyFill="1"/>
    <xf numFmtId="43" fontId="87" fillId="0" borderId="0" xfId="0" applyNumberFormat="1" applyFont="1"/>
    <xf numFmtId="43" fontId="93" fillId="0" borderId="0" xfId="225" applyFont="1" applyFill="1" applyBorder="1"/>
    <xf numFmtId="43" fontId="94" fillId="0" borderId="0" xfId="4" applyFont="1" applyFill="1"/>
    <xf numFmtId="0" fontId="86" fillId="0" borderId="0" xfId="0" applyFont="1"/>
    <xf numFmtId="43" fontId="86" fillId="0" borderId="0" xfId="6" applyFont="1" applyFill="1"/>
    <xf numFmtId="4" fontId="87" fillId="0" borderId="0" xfId="0" applyNumberFormat="1" applyFont="1"/>
    <xf numFmtId="43" fontId="87" fillId="0" borderId="0" xfId="4" applyFont="1" applyFill="1" applyBorder="1"/>
    <xf numFmtId="0" fontId="91" fillId="0" borderId="0" xfId="0" applyFont="1" applyAlignment="1">
      <alignment horizontal="center"/>
    </xf>
    <xf numFmtId="43" fontId="87" fillId="0" borderId="0" xfId="4" applyFont="1"/>
    <xf numFmtId="0" fontId="94" fillId="0" borderId="0" xfId="0" applyFont="1"/>
    <xf numFmtId="0" fontId="88" fillId="0" borderId="0" xfId="0" applyFont="1" applyAlignment="1">
      <alignment horizontal="center"/>
    </xf>
    <xf numFmtId="0" fontId="96" fillId="0" borderId="0" xfId="0" applyFont="1"/>
    <xf numFmtId="14" fontId="89" fillId="0" borderId="0" xfId="0" applyNumberFormat="1" applyFont="1"/>
    <xf numFmtId="166" fontId="89" fillId="0" borderId="0" xfId="0" applyNumberFormat="1" applyFont="1" applyAlignment="1" applyProtection="1">
      <alignment horizontal="center"/>
      <protection locked="0"/>
    </xf>
    <xf numFmtId="166" fontId="89" fillId="0" borderId="0" xfId="0" applyNumberFormat="1" applyFont="1" applyAlignment="1">
      <alignment horizontal="center"/>
    </xf>
    <xf numFmtId="43" fontId="89" fillId="0" borderId="0" xfId="4" applyFont="1"/>
    <xf numFmtId="0" fontId="89" fillId="0" borderId="0" xfId="0" applyFont="1" applyAlignment="1">
      <alignment vertical="center"/>
    </xf>
    <xf numFmtId="43" fontId="88" fillId="0" borderId="13" xfId="4" applyFont="1" applyBorder="1" applyAlignment="1">
      <alignment horizontal="center" vertical="center" wrapText="1"/>
    </xf>
    <xf numFmtId="43" fontId="89" fillId="0" borderId="0" xfId="4" applyFont="1" applyAlignment="1">
      <alignment vertical="center"/>
    </xf>
    <xf numFmtId="0" fontId="91" fillId="0" borderId="0" xfId="0" applyFont="1"/>
    <xf numFmtId="43" fontId="87" fillId="0" borderId="0" xfId="4" applyFont="1" applyAlignment="1"/>
    <xf numFmtId="0" fontId="98" fillId="0" borderId="0" xfId="0" applyFont="1"/>
    <xf numFmtId="43" fontId="87" fillId="0" borderId="0" xfId="4" applyFont="1" applyAlignment="1">
      <alignment horizontal="right"/>
    </xf>
    <xf numFmtId="43" fontId="94" fillId="0" borderId="0" xfId="4" applyFont="1"/>
    <xf numFmtId="43" fontId="87" fillId="0" borderId="0" xfId="35" applyFont="1" applyAlignment="1">
      <alignment horizontal="right"/>
    </xf>
    <xf numFmtId="43" fontId="91" fillId="0" borderId="3" xfId="4" applyFont="1" applyBorder="1" applyAlignment="1">
      <alignment horizontal="right"/>
    </xf>
    <xf numFmtId="43" fontId="87" fillId="0" borderId="0" xfId="4" applyFont="1" applyFill="1" applyAlignment="1"/>
    <xf numFmtId="43" fontId="92" fillId="0" borderId="0" xfId="82" applyFont="1" applyFill="1" applyAlignment="1">
      <alignment horizontal="right"/>
    </xf>
    <xf numFmtId="0" fontId="98" fillId="0" borderId="0" xfId="0" applyFont="1" applyAlignment="1">
      <alignment horizontal="center"/>
    </xf>
    <xf numFmtId="43" fontId="92" fillId="0" borderId="0" xfId="82" applyFont="1" applyAlignment="1">
      <alignment horizontal="right"/>
    </xf>
    <xf numFmtId="43" fontId="87" fillId="0" borderId="1" xfId="4" applyFont="1" applyBorder="1" applyAlignment="1">
      <alignment horizontal="right"/>
    </xf>
    <xf numFmtId="43" fontId="91" fillId="0" borderId="0" xfId="4" applyFont="1" applyAlignment="1">
      <alignment horizontal="right"/>
    </xf>
    <xf numFmtId="43" fontId="91" fillId="0" borderId="7" xfId="4" applyFont="1" applyBorder="1" applyAlignment="1">
      <alignment horizontal="right"/>
    </xf>
    <xf numFmtId="43" fontId="87" fillId="0" borderId="0" xfId="4" applyFont="1" applyFill="1" applyAlignment="1">
      <alignment horizontal="right"/>
    </xf>
    <xf numFmtId="43" fontId="94" fillId="0" borderId="0" xfId="4" applyFont="1" applyFill="1" applyAlignment="1"/>
    <xf numFmtId="43" fontId="87" fillId="0" borderId="1" xfId="4" applyFont="1" applyFill="1" applyBorder="1" applyAlignment="1">
      <alignment horizontal="right"/>
    </xf>
    <xf numFmtId="43" fontId="87" fillId="0" borderId="0" xfId="4" applyFont="1" applyAlignment="1">
      <alignment horizontal="center"/>
    </xf>
    <xf numFmtId="43" fontId="75" fillId="0" borderId="0" xfId="4" applyFont="1" applyAlignment="1">
      <alignment horizontal="right"/>
    </xf>
    <xf numFmtId="174" fontId="92" fillId="0" borderId="0" xfId="82" applyNumberFormat="1" applyFont="1" applyAlignment="1">
      <alignment horizontal="right"/>
    </xf>
    <xf numFmtId="43" fontId="99" fillId="0" borderId="0" xfId="92" applyFont="1" applyAlignment="1">
      <alignment horizontal="right"/>
    </xf>
    <xf numFmtId="174" fontId="87" fillId="0" borderId="0" xfId="4" applyNumberFormat="1" applyFont="1" applyAlignment="1">
      <alignment horizontal="right"/>
    </xf>
    <xf numFmtId="0" fontId="87" fillId="0" borderId="0" xfId="0" applyFont="1" applyProtection="1">
      <protection locked="0"/>
    </xf>
    <xf numFmtId="0" fontId="87" fillId="0" borderId="0" xfId="0" applyFont="1" applyAlignment="1" applyProtection="1">
      <alignment horizontal="center"/>
      <protection locked="0"/>
    </xf>
    <xf numFmtId="43" fontId="99" fillId="0" borderId="0" xfId="4" applyFont="1" applyAlignment="1">
      <alignment horizontal="right"/>
    </xf>
    <xf numFmtId="43" fontId="91" fillId="0" borderId="0" xfId="4" applyFont="1" applyAlignment="1">
      <alignment horizontal="center"/>
    </xf>
    <xf numFmtId="43" fontId="91" fillId="0" borderId="0" xfId="4" applyFont="1"/>
    <xf numFmtId="170" fontId="87" fillId="0" borderId="0" xfId="0" applyNumberFormat="1" applyFont="1"/>
    <xf numFmtId="168" fontId="87" fillId="0" borderId="0" xfId="4" applyNumberFormat="1" applyFont="1"/>
    <xf numFmtId="169" fontId="87" fillId="0" borderId="0" xfId="0" applyNumberFormat="1" applyFont="1"/>
    <xf numFmtId="0" fontId="87" fillId="0" borderId="0" xfId="0" applyFont="1" applyAlignment="1">
      <alignment vertical="top"/>
    </xf>
    <xf numFmtId="43" fontId="87" fillId="0" borderId="0" xfId="4" applyFont="1" applyAlignment="1">
      <alignment vertical="top"/>
    </xf>
    <xf numFmtId="43" fontId="92" fillId="0" borderId="0" xfId="111" applyFont="1" applyAlignment="1">
      <alignment horizontal="right"/>
    </xf>
    <xf numFmtId="0" fontId="97" fillId="0" borderId="0" xfId="0" applyFont="1"/>
    <xf numFmtId="49" fontId="88" fillId="0" borderId="0" xfId="0" applyNumberFormat="1" applyFont="1" applyProtection="1">
      <protection locked="0"/>
    </xf>
    <xf numFmtId="166" fontId="89" fillId="0" borderId="0" xfId="0" applyNumberFormat="1" applyFont="1" applyProtection="1">
      <protection locked="0"/>
    </xf>
    <xf numFmtId="43" fontId="89" fillId="0" borderId="0" xfId="0" applyNumberFormat="1" applyFont="1"/>
    <xf numFmtId="43" fontId="89" fillId="0" borderId="0" xfId="4" applyFont="1" applyAlignment="1"/>
    <xf numFmtId="43" fontId="91" fillId="0" borderId="13" xfId="4" applyFont="1" applyBorder="1" applyAlignment="1">
      <alignment horizontal="center" vertical="center" wrapText="1"/>
    </xf>
    <xf numFmtId="43" fontId="87" fillId="0" borderId="1" xfId="4" applyFont="1" applyFill="1" applyBorder="1" applyAlignment="1"/>
    <xf numFmtId="43" fontId="87" fillId="0" borderId="1" xfId="4" applyFont="1" applyBorder="1"/>
    <xf numFmtId="0" fontId="91" fillId="0" borderId="0" xfId="0" applyFont="1" applyAlignment="1">
      <alignment wrapText="1"/>
    </xf>
    <xf numFmtId="0" fontId="91" fillId="0" borderId="0" xfId="0" applyFont="1" applyAlignment="1">
      <alignment horizontal="left"/>
    </xf>
    <xf numFmtId="43" fontId="91" fillId="0" borderId="7" xfId="4" applyFont="1" applyBorder="1" applyAlignment="1"/>
    <xf numFmtId="43" fontId="100" fillId="0" borderId="0" xfId="4" applyFont="1" applyAlignment="1"/>
    <xf numFmtId="175" fontId="92" fillId="0" borderId="0" xfId="4" applyNumberFormat="1" applyFont="1" applyAlignment="1">
      <alignment horizontal="right"/>
    </xf>
    <xf numFmtId="175" fontId="87" fillId="0" borderId="0" xfId="4" applyNumberFormat="1" applyFont="1" applyAlignment="1"/>
    <xf numFmtId="175" fontId="100" fillId="0" borderId="0" xfId="4" applyNumberFormat="1" applyFont="1" applyAlignment="1"/>
    <xf numFmtId="43" fontId="92" fillId="0" borderId="0" xfId="4" applyFont="1" applyAlignment="1">
      <alignment horizontal="right"/>
    </xf>
    <xf numFmtId="0" fontId="87" fillId="0" borderId="0" xfId="0" applyFont="1" applyAlignment="1" applyProtection="1">
      <alignment vertical="top"/>
      <protection locked="0"/>
    </xf>
    <xf numFmtId="43" fontId="91" fillId="0" borderId="0" xfId="4" applyFont="1" applyAlignment="1">
      <alignment horizontal="center" vertical="top"/>
    </xf>
    <xf numFmtId="43" fontId="91" fillId="0" borderId="0" xfId="4" applyFont="1" applyAlignment="1">
      <alignment vertical="top"/>
    </xf>
    <xf numFmtId="43" fontId="87" fillId="0" borderId="0" xfId="4" applyFont="1" applyAlignment="1">
      <alignment horizontal="center" vertical="top"/>
    </xf>
    <xf numFmtId="0" fontId="86" fillId="0" borderId="0" xfId="18" applyFont="1"/>
    <xf numFmtId="0" fontId="86" fillId="0" borderId="0" xfId="18" applyFont="1" applyAlignment="1">
      <alignment horizontal="center"/>
    </xf>
    <xf numFmtId="43" fontId="91" fillId="0" borderId="13" xfId="4" applyFont="1" applyFill="1" applyBorder="1" applyAlignment="1">
      <alignment horizontal="center" vertical="center" wrapText="1"/>
    </xf>
    <xf numFmtId="43" fontId="86" fillId="0" borderId="0" xfId="84" applyFont="1" applyAlignment="1">
      <alignment horizontal="right"/>
    </xf>
    <xf numFmtId="43" fontId="75" fillId="0" borderId="0" xfId="4" applyFont="1" applyFill="1" applyAlignment="1">
      <alignment horizontal="center"/>
    </xf>
    <xf numFmtId="4" fontId="92" fillId="0" borderId="0" xfId="247" applyNumberFormat="1" applyFont="1"/>
    <xf numFmtId="43" fontId="101" fillId="0" borderId="0" xfId="4" applyFont="1" applyFill="1" applyAlignment="1">
      <alignment horizontal="center"/>
    </xf>
    <xf numFmtId="10" fontId="91" fillId="0" borderId="0" xfId="43" applyNumberFormat="1" applyFont="1" applyFill="1" applyAlignment="1">
      <alignment horizontal="center"/>
    </xf>
    <xf numFmtId="43" fontId="87" fillId="0" borderId="1" xfId="4" applyFont="1" applyFill="1" applyBorder="1"/>
    <xf numFmtId="0" fontId="91" fillId="0" borderId="0" xfId="0" applyFont="1" applyAlignment="1">
      <alignment horizontal="left" indent="3"/>
    </xf>
    <xf numFmtId="43" fontId="91" fillId="0" borderId="0" xfId="4" applyFont="1" applyFill="1"/>
    <xf numFmtId="43" fontId="87" fillId="0" borderId="0" xfId="0" applyNumberFormat="1" applyFont="1" applyAlignment="1">
      <alignment horizontal="center"/>
    </xf>
    <xf numFmtId="4" fontId="92" fillId="0" borderId="0" xfId="223" applyNumberFormat="1" applyFont="1"/>
    <xf numFmtId="43" fontId="91" fillId="0" borderId="0" xfId="4" applyFont="1" applyFill="1" applyBorder="1"/>
    <xf numFmtId="4" fontId="92" fillId="0" borderId="0" xfId="95" applyNumberFormat="1" applyFont="1"/>
    <xf numFmtId="43" fontId="87" fillId="0" borderId="0" xfId="4" applyFont="1" applyFill="1" applyAlignment="1">
      <alignment horizontal="center"/>
    </xf>
    <xf numFmtId="39" fontId="87" fillId="0" borderId="0" xfId="4" applyNumberFormat="1" applyFont="1" applyFill="1" applyAlignment="1">
      <alignment horizontal="right"/>
    </xf>
    <xf numFmtId="39" fontId="87" fillId="0" borderId="0" xfId="4" applyNumberFormat="1" applyFont="1" applyFill="1"/>
    <xf numFmtId="39" fontId="87" fillId="0" borderId="0" xfId="4" applyNumberFormat="1" applyFont="1"/>
    <xf numFmtId="43" fontId="87" fillId="0" borderId="0" xfId="6" applyFont="1" applyFill="1"/>
    <xf numFmtId="43" fontId="87" fillId="0" borderId="0" xfId="6" applyFont="1"/>
    <xf numFmtId="43" fontId="86" fillId="0" borderId="0" xfId="6" applyFont="1"/>
    <xf numFmtId="0" fontId="87" fillId="0" borderId="34" xfId="0" applyFont="1" applyBorder="1"/>
    <xf numFmtId="164" fontId="86" fillId="0" borderId="0" xfId="7" applyFont="1"/>
    <xf numFmtId="43" fontId="91" fillId="0" borderId="0" xfId="4" applyFont="1" applyFill="1" applyAlignment="1"/>
    <xf numFmtId="172" fontId="91" fillId="0" borderId="0" xfId="0" applyNumberFormat="1" applyFont="1" applyAlignment="1">
      <alignment horizontal="center"/>
    </xf>
    <xf numFmtId="14" fontId="91" fillId="0" borderId="0" xfId="0" applyNumberFormat="1" applyFont="1" applyAlignment="1">
      <alignment horizontal="center"/>
    </xf>
    <xf numFmtId="43" fontId="91" fillId="0" borderId="0" xfId="4" applyFont="1" applyFill="1" applyAlignment="1">
      <alignment horizontal="center"/>
    </xf>
    <xf numFmtId="0" fontId="91" fillId="4" borderId="5" xfId="0" applyFont="1" applyFill="1" applyBorder="1" applyAlignment="1">
      <alignment horizontal="center"/>
    </xf>
    <xf numFmtId="0" fontId="91" fillId="4" borderId="12" xfId="0" applyFont="1" applyFill="1" applyBorder="1" applyAlignment="1">
      <alignment horizontal="center"/>
    </xf>
    <xf numFmtId="0" fontId="91" fillId="4" borderId="6" xfId="0" applyFont="1" applyFill="1" applyBorder="1" applyAlignment="1">
      <alignment horizontal="center"/>
    </xf>
    <xf numFmtId="0" fontId="87" fillId="0" borderId="10" xfId="0" applyFont="1" applyBorder="1"/>
    <xf numFmtId="0" fontId="87" fillId="0" borderId="1" xfId="0" applyFont="1" applyBorder="1"/>
    <xf numFmtId="43" fontId="87" fillId="0" borderId="8" xfId="4" applyFont="1" applyBorder="1"/>
    <xf numFmtId="0" fontId="87" fillId="0" borderId="11" xfId="0" applyFont="1" applyBorder="1"/>
    <xf numFmtId="0" fontId="87" fillId="0" borderId="13" xfId="0" applyFont="1" applyBorder="1"/>
    <xf numFmtId="43" fontId="87" fillId="0" borderId="13" xfId="4" applyFont="1" applyBorder="1"/>
    <xf numFmtId="43" fontId="87" fillId="0" borderId="9" xfId="4" applyFont="1" applyFill="1" applyBorder="1" applyAlignment="1">
      <alignment horizontal="right"/>
    </xf>
    <xf numFmtId="43" fontId="103" fillId="0" borderId="9" xfId="4" applyFont="1" applyFill="1" applyBorder="1" applyAlignment="1">
      <alignment horizontal="right"/>
    </xf>
    <xf numFmtId="0" fontId="91" fillId="0" borderId="11" xfId="0" applyFont="1" applyBorder="1"/>
    <xf numFmtId="0" fontId="91" fillId="0" borderId="13" xfId="0" applyFont="1" applyBorder="1"/>
    <xf numFmtId="43" fontId="102" fillId="0" borderId="9" xfId="4" applyFont="1" applyBorder="1" applyAlignment="1">
      <alignment horizontal="right"/>
    </xf>
    <xf numFmtId="0" fontId="87" fillId="0" borderId="14" xfId="0" applyFont="1" applyBorder="1"/>
    <xf numFmtId="0" fontId="87" fillId="0" borderId="15" xfId="0" applyFont="1" applyBorder="1"/>
    <xf numFmtId="4" fontId="87" fillId="0" borderId="16" xfId="4" applyNumberFormat="1" applyFont="1" applyBorder="1" applyAlignment="1">
      <alignment horizontal="right"/>
    </xf>
    <xf numFmtId="43" fontId="87" fillId="0" borderId="0" xfId="0" applyNumberFormat="1" applyFont="1" applyAlignment="1">
      <alignment horizontal="right"/>
    </xf>
    <xf numFmtId="43" fontId="87" fillId="0" borderId="1" xfId="0" applyNumberFormat="1" applyFont="1" applyBorder="1" applyAlignment="1">
      <alignment horizontal="right"/>
    </xf>
    <xf numFmtId="0" fontId="87" fillId="0" borderId="0" xfId="0" applyFont="1" applyAlignment="1">
      <alignment horizontal="right"/>
    </xf>
    <xf numFmtId="43" fontId="87" fillId="0" borderId="0" xfId="4" applyFont="1" applyBorder="1" applyAlignment="1">
      <alignment horizontal="right"/>
    </xf>
    <xf numFmtId="43" fontId="103" fillId="0" borderId="0" xfId="4" applyFont="1" applyBorder="1" applyAlignment="1">
      <alignment horizontal="right"/>
    </xf>
    <xf numFmtId="43" fontId="91" fillId="7" borderId="7" xfId="0" applyNumberFormat="1" applyFont="1" applyFill="1" applyBorder="1" applyAlignment="1">
      <alignment horizontal="right"/>
    </xf>
    <xf numFmtId="0" fontId="92" fillId="0" borderId="0" xfId="260" quotePrefix="1" applyFont="1"/>
    <xf numFmtId="0" fontId="104" fillId="0" borderId="0" xfId="260" applyFont="1"/>
    <xf numFmtId="4" fontId="92" fillId="0" borderId="0" xfId="260" applyNumberFormat="1" applyFont="1"/>
    <xf numFmtId="0" fontId="92" fillId="0" borderId="0" xfId="260" applyFont="1"/>
    <xf numFmtId="0" fontId="86" fillId="0" borderId="11" xfId="0" applyFont="1" applyBorder="1"/>
    <xf numFmtId="43" fontId="87" fillId="0" borderId="2" xfId="4" applyFont="1" applyBorder="1"/>
    <xf numFmtId="4" fontId="87" fillId="0" borderId="9" xfId="4" applyNumberFormat="1" applyFont="1" applyBorder="1" applyAlignment="1">
      <alignment horizontal="right"/>
    </xf>
    <xf numFmtId="4" fontId="103" fillId="0" borderId="9" xfId="4" applyNumberFormat="1" applyFont="1" applyBorder="1" applyAlignment="1">
      <alignment horizontal="right"/>
    </xf>
    <xf numFmtId="43" fontId="102" fillId="0" borderId="2" xfId="4" applyFont="1" applyBorder="1"/>
    <xf numFmtId="43" fontId="91" fillId="0" borderId="2" xfId="4" applyFont="1" applyBorder="1"/>
    <xf numFmtId="4" fontId="102" fillId="0" borderId="9" xfId="4" applyNumberFormat="1" applyFont="1" applyBorder="1" applyAlignment="1">
      <alignment horizontal="right"/>
    </xf>
    <xf numFmtId="43" fontId="102" fillId="0" borderId="0" xfId="4" applyFont="1" applyBorder="1"/>
    <xf numFmtId="4" fontId="92" fillId="0" borderId="0" xfId="232" applyNumberFormat="1" applyFont="1"/>
    <xf numFmtId="0" fontId="91" fillId="0" borderId="14" xfId="0" applyFont="1" applyBorder="1"/>
    <xf numFmtId="43" fontId="91" fillId="0" borderId="17" xfId="4" applyFont="1" applyBorder="1"/>
    <xf numFmtId="4" fontId="87" fillId="0" borderId="16" xfId="0" applyNumberFormat="1" applyFont="1" applyBorder="1" applyAlignment="1">
      <alignment horizontal="right"/>
    </xf>
    <xf numFmtId="43" fontId="91" fillId="0" borderId="0" xfId="4" applyFont="1" applyBorder="1"/>
    <xf numFmtId="43" fontId="94" fillId="0" borderId="0" xfId="4" applyFont="1" applyAlignment="1">
      <alignment horizontal="center"/>
    </xf>
    <xf numFmtId="4" fontId="92" fillId="0" borderId="0" xfId="77" applyNumberFormat="1" applyFont="1"/>
    <xf numFmtId="0" fontId="92" fillId="0" borderId="0" xfId="18" applyFont="1"/>
    <xf numFmtId="43" fontId="103" fillId="0" borderId="0" xfId="4" applyFont="1"/>
    <xf numFmtId="43" fontId="94" fillId="0" borderId="0" xfId="0" applyNumberFormat="1" applyFont="1"/>
    <xf numFmtId="172" fontId="91" fillId="0" borderId="0" xfId="0" applyNumberFormat="1" applyFont="1"/>
    <xf numFmtId="43" fontId="86" fillId="0" borderId="10" xfId="6" applyFont="1" applyBorder="1"/>
    <xf numFmtId="39" fontId="86" fillId="0" borderId="8" xfId="6" applyNumberFormat="1" applyFont="1" applyBorder="1" applyAlignment="1">
      <alignment horizontal="right"/>
    </xf>
    <xf numFmtId="43" fontId="86" fillId="0" borderId="11" xfId="6" applyFont="1" applyBorder="1"/>
    <xf numFmtId="39" fontId="86" fillId="0" borderId="9" xfId="6" applyNumberFormat="1" applyFont="1" applyBorder="1" applyAlignment="1">
      <alignment horizontal="right"/>
    </xf>
    <xf numFmtId="39" fontId="105" fillId="0" borderId="9" xfId="6" applyNumberFormat="1" applyFont="1" applyBorder="1" applyAlignment="1">
      <alignment horizontal="right"/>
    </xf>
    <xf numFmtId="43" fontId="90" fillId="0" borderId="11" xfId="6" applyFont="1" applyBorder="1"/>
    <xf numFmtId="39" fontId="106" fillId="0" borderId="9" xfId="6" applyNumberFormat="1" applyFont="1" applyBorder="1" applyAlignment="1">
      <alignment horizontal="right"/>
    </xf>
    <xf numFmtId="43" fontId="86" fillId="0" borderId="14" xfId="6" applyFont="1" applyBorder="1"/>
    <xf numFmtId="43" fontId="86" fillId="0" borderId="16" xfId="6" applyFont="1" applyBorder="1"/>
    <xf numFmtId="0" fontId="91" fillId="4" borderId="19" xfId="0" applyFont="1" applyFill="1" applyBorder="1" applyAlignment="1">
      <alignment horizontal="center"/>
    </xf>
    <xf numFmtId="0" fontId="91" fillId="4" borderId="18" xfId="0" applyFont="1" applyFill="1" applyBorder="1" applyAlignment="1">
      <alignment horizontal="center"/>
    </xf>
    <xf numFmtId="0" fontId="91" fillId="4" borderId="17" xfId="0" applyFont="1" applyFill="1" applyBorder="1" applyAlignment="1">
      <alignment horizontal="center"/>
    </xf>
    <xf numFmtId="0" fontId="91" fillId="4" borderId="16" xfId="0" applyFont="1" applyFill="1" applyBorder="1" applyAlignment="1">
      <alignment horizontal="center"/>
    </xf>
    <xf numFmtId="0" fontId="87" fillId="0" borderId="4" xfId="0" applyFont="1" applyBorder="1" applyAlignment="1">
      <alignment horizontal="left"/>
    </xf>
    <xf numFmtId="43" fontId="87" fillId="0" borderId="4" xfId="4" applyFont="1" applyBorder="1"/>
    <xf numFmtId="43" fontId="87" fillId="0" borderId="4" xfId="4" applyFont="1" applyFill="1" applyBorder="1"/>
    <xf numFmtId="0" fontId="87" fillId="0" borderId="2" xfId="0" applyFont="1" applyBorder="1" applyAlignment="1">
      <alignment horizontal="left" wrapText="1"/>
    </xf>
    <xf numFmtId="43" fontId="87" fillId="0" borderId="2" xfId="4" applyFont="1" applyFill="1" applyBorder="1"/>
    <xf numFmtId="0" fontId="108" fillId="0" borderId="2" xfId="0" applyFont="1" applyBorder="1"/>
    <xf numFmtId="0" fontId="108" fillId="0" borderId="2" xfId="0" applyFont="1" applyBorder="1" applyAlignment="1">
      <alignment wrapText="1"/>
    </xf>
    <xf numFmtId="4" fontId="94" fillId="0" borderId="0" xfId="0" applyNumberFormat="1" applyFont="1"/>
    <xf numFmtId="0" fontId="87" fillId="0" borderId="2" xfId="0" applyFont="1" applyBorder="1" applyAlignment="1">
      <alignment horizontal="left" vertical="center" wrapText="1"/>
    </xf>
    <xf numFmtId="0" fontId="108" fillId="0" borderId="2" xfId="0" applyFont="1" applyBorder="1" applyAlignment="1">
      <alignment vertical="center" wrapText="1"/>
    </xf>
    <xf numFmtId="43" fontId="103" fillId="0" borderId="2" xfId="4" applyFont="1" applyBorder="1"/>
    <xf numFmtId="0" fontId="87" fillId="0" borderId="2" xfId="0" applyFont="1" applyBorder="1"/>
    <xf numFmtId="0" fontId="91" fillId="0" borderId="2" xfId="0" applyFont="1" applyBorder="1"/>
    <xf numFmtId="0" fontId="109" fillId="6" borderId="0" xfId="0" applyFont="1" applyFill="1"/>
    <xf numFmtId="0" fontId="104" fillId="0" borderId="0" xfId="238" applyFont="1"/>
    <xf numFmtId="4" fontId="92" fillId="0" borderId="0" xfId="238" applyNumberFormat="1" applyFont="1"/>
    <xf numFmtId="4" fontId="110" fillId="0" borderId="0" xfId="238" applyNumberFormat="1" applyFont="1"/>
    <xf numFmtId="0" fontId="90" fillId="4" borderId="5" xfId="0" applyFont="1" applyFill="1" applyBorder="1" applyAlignment="1">
      <alignment horizontal="center"/>
    </xf>
    <xf numFmtId="0" fontId="90" fillId="4" borderId="12" xfId="0" applyFont="1" applyFill="1" applyBorder="1" applyAlignment="1">
      <alignment horizontal="center"/>
    </xf>
    <xf numFmtId="14" fontId="87" fillId="0" borderId="4" xfId="0" applyNumberFormat="1" applyFont="1" applyBorder="1" applyAlignment="1">
      <alignment horizontal="center"/>
    </xf>
    <xf numFmtId="0" fontId="87" fillId="0" borderId="4" xfId="0" applyFont="1" applyBorder="1" applyAlignment="1">
      <alignment horizontal="center"/>
    </xf>
    <xf numFmtId="0" fontId="87" fillId="0" borderId="4" xfId="0" applyFont="1" applyBorder="1"/>
    <xf numFmtId="14" fontId="87" fillId="0" borderId="2" xfId="0" applyNumberFormat="1" applyFont="1" applyBorder="1" applyAlignment="1">
      <alignment horizontal="center"/>
    </xf>
    <xf numFmtId="0" fontId="87" fillId="0" borderId="2" xfId="0" applyFont="1" applyBorder="1" applyAlignment="1">
      <alignment horizontal="center"/>
    </xf>
    <xf numFmtId="43" fontId="106" fillId="0" borderId="2" xfId="4" applyFont="1" applyBorder="1"/>
    <xf numFmtId="0" fontId="109" fillId="6" borderId="0" xfId="0" applyFont="1" applyFill="1" applyAlignment="1">
      <alignment horizontal="center" vertical="center"/>
    </xf>
    <xf numFmtId="0" fontId="91" fillId="4" borderId="33" xfId="0" applyFont="1" applyFill="1" applyBorder="1" applyAlignment="1">
      <alignment horizontal="center"/>
    </xf>
    <xf numFmtId="0" fontId="88" fillId="0" borderId="14" xfId="0" applyFont="1" applyBorder="1"/>
    <xf numFmtId="4" fontId="112" fillId="0" borderId="16" xfId="0" applyNumberFormat="1" applyFont="1" applyBorder="1"/>
    <xf numFmtId="0" fontId="90" fillId="0" borderId="0" xfId="0" applyFont="1"/>
    <xf numFmtId="16" fontId="86" fillId="0" borderId="0" xfId="0" applyNumberFormat="1" applyFont="1"/>
    <xf numFmtId="0" fontId="86" fillId="0" borderId="2" xfId="0" applyFont="1" applyBorder="1"/>
    <xf numFmtId="0" fontId="86" fillId="0" borderId="2" xfId="0" applyFont="1" applyBorder="1" applyAlignment="1">
      <alignment horizontal="center"/>
    </xf>
    <xf numFmtId="0" fontId="90" fillId="0" borderId="2" xfId="0" applyFont="1" applyBorder="1" applyAlignment="1">
      <alignment horizontal="right"/>
    </xf>
    <xf numFmtId="43" fontId="106" fillId="0" borderId="2" xfId="0" applyNumberFormat="1" applyFont="1" applyBorder="1"/>
    <xf numFmtId="0" fontId="106" fillId="0" borderId="2" xfId="0" applyFont="1" applyBorder="1"/>
    <xf numFmtId="43" fontId="74" fillId="0" borderId="0" xfId="0" applyNumberFormat="1" applyFont="1"/>
    <xf numFmtId="0" fontId="91" fillId="4" borderId="35" xfId="0" applyFont="1" applyFill="1" applyBorder="1" applyAlignment="1">
      <alignment horizontal="center"/>
    </xf>
    <xf numFmtId="0" fontId="87" fillId="0" borderId="30" xfId="0" applyFont="1" applyBorder="1"/>
    <xf numFmtId="43" fontId="111" fillId="0" borderId="8" xfId="4" applyFont="1" applyBorder="1" applyAlignment="1">
      <alignment horizontal="right"/>
    </xf>
    <xf numFmtId="43" fontId="87" fillId="0" borderId="16" xfId="4" applyFont="1" applyBorder="1" applyAlignment="1">
      <alignment horizontal="right"/>
    </xf>
    <xf numFmtId="0" fontId="114" fillId="6" borderId="0" xfId="0" applyFont="1" applyFill="1" applyAlignment="1">
      <alignment horizontal="center" vertical="center"/>
    </xf>
    <xf numFmtId="43" fontId="90" fillId="0" borderId="10" xfId="6" applyFont="1" applyBorder="1"/>
    <xf numFmtId="43" fontId="86" fillId="0" borderId="8" xfId="6" applyFont="1" applyBorder="1"/>
    <xf numFmtId="43" fontId="105" fillId="0" borderId="8" xfId="6" applyFont="1" applyBorder="1"/>
    <xf numFmtId="43" fontId="90" fillId="0" borderId="10" xfId="6" applyFont="1" applyFill="1" applyBorder="1"/>
    <xf numFmtId="43" fontId="90" fillId="0" borderId="8" xfId="6" applyFont="1" applyFill="1" applyBorder="1"/>
    <xf numFmtId="43" fontId="86" fillId="0" borderId="10" xfId="6" applyFont="1" applyFill="1" applyBorder="1"/>
    <xf numFmtId="43" fontId="86" fillId="0" borderId="8" xfId="6" applyFont="1" applyFill="1" applyBorder="1"/>
    <xf numFmtId="43" fontId="86" fillId="0" borderId="9" xfId="6" applyFont="1" applyBorder="1"/>
    <xf numFmtId="43" fontId="105" fillId="0" borderId="9" xfId="6" applyFont="1" applyBorder="1"/>
    <xf numFmtId="43" fontId="115" fillId="0" borderId="8" xfId="6" applyFont="1" applyFill="1" applyBorder="1"/>
    <xf numFmtId="43" fontId="90" fillId="0" borderId="11" xfId="6" applyFont="1" applyFill="1" applyBorder="1"/>
    <xf numFmtId="43" fontId="106" fillId="0" borderId="9" xfId="6" applyFont="1" applyFill="1" applyBorder="1"/>
    <xf numFmtId="43" fontId="86" fillId="0" borderId="11" xfId="6" applyFont="1" applyBorder="1" applyAlignment="1">
      <alignment horizontal="right"/>
    </xf>
    <xf numFmtId="43" fontId="106" fillId="0" borderId="9" xfId="6" applyFont="1" applyBorder="1"/>
    <xf numFmtId="43" fontId="86" fillId="0" borderId="0" xfId="6" applyFont="1" applyBorder="1"/>
    <xf numFmtId="43" fontId="91" fillId="4" borderId="6" xfId="6" applyFont="1" applyFill="1" applyBorder="1" applyAlignment="1">
      <alignment horizontal="center"/>
    </xf>
    <xf numFmtId="49" fontId="87" fillId="0" borderId="20" xfId="0" applyNumberFormat="1" applyFont="1" applyBorder="1"/>
    <xf numFmtId="43" fontId="87" fillId="0" borderId="21" xfId="4" applyFont="1" applyBorder="1"/>
    <xf numFmtId="43" fontId="103" fillId="0" borderId="21" xfId="4" applyFont="1" applyBorder="1"/>
    <xf numFmtId="0" fontId="91" fillId="0" borderId="22" xfId="0" applyFont="1" applyBorder="1"/>
    <xf numFmtId="43" fontId="102" fillId="0" borderId="23" xfId="4" applyFont="1" applyBorder="1"/>
    <xf numFmtId="43" fontId="87" fillId="0" borderId="0" xfId="4" applyFont="1" applyBorder="1"/>
    <xf numFmtId="0" fontId="87" fillId="0" borderId="24" xfId="0" applyFont="1" applyBorder="1"/>
    <xf numFmtId="0" fontId="87" fillId="0" borderId="3" xfId="0" applyFont="1" applyBorder="1"/>
    <xf numFmtId="43" fontId="87" fillId="0" borderId="25" xfId="4" applyFont="1" applyBorder="1"/>
    <xf numFmtId="0" fontId="87" fillId="0" borderId="20" xfId="0" applyFont="1" applyBorder="1"/>
    <xf numFmtId="0" fontId="91" fillId="0" borderId="26" xfId="0" applyFont="1" applyBorder="1"/>
    <xf numFmtId="0" fontId="91" fillId="0" borderId="1" xfId="0" applyFont="1" applyBorder="1"/>
    <xf numFmtId="43" fontId="102" fillId="0" borderId="27" xfId="4" applyFont="1" applyBorder="1"/>
    <xf numFmtId="0" fontId="87" fillId="4" borderId="0" xfId="0" applyFont="1" applyFill="1"/>
    <xf numFmtId="43" fontId="87" fillId="4" borderId="0" xfId="4" applyFont="1" applyFill="1"/>
    <xf numFmtId="0" fontId="116" fillId="0" borderId="0" xfId="0" applyFont="1"/>
    <xf numFmtId="43" fontId="116" fillId="0" borderId="0" xfId="4" applyFont="1"/>
    <xf numFmtId="43" fontId="91" fillId="0" borderId="3" xfId="4" applyFont="1" applyBorder="1"/>
    <xf numFmtId="43" fontId="106" fillId="0" borderId="0" xfId="4" applyFont="1"/>
    <xf numFmtId="0" fontId="91" fillId="5" borderId="5" xfId="0" applyFont="1" applyFill="1" applyBorder="1" applyAlignment="1">
      <alignment horizontal="center"/>
    </xf>
    <xf numFmtId="0" fontId="91" fillId="5" borderId="12" xfId="0" applyFont="1" applyFill="1" applyBorder="1" applyAlignment="1">
      <alignment horizontal="center"/>
    </xf>
    <xf numFmtId="43" fontId="91" fillId="5" borderId="6" xfId="6" applyFont="1" applyFill="1" applyBorder="1" applyAlignment="1">
      <alignment horizontal="center"/>
    </xf>
    <xf numFmtId="49" fontId="87" fillId="5" borderId="10" xfId="0" applyNumberFormat="1" applyFont="1" applyFill="1" applyBorder="1"/>
    <xf numFmtId="0" fontId="87" fillId="5" borderId="4" xfId="0" applyFont="1" applyFill="1" applyBorder="1"/>
    <xf numFmtId="0" fontId="87" fillId="5" borderId="4" xfId="0" applyFont="1" applyFill="1" applyBorder="1" applyAlignment="1">
      <alignment horizontal="center"/>
    </xf>
    <xf numFmtId="43" fontId="103" fillId="5" borderId="8" xfId="6" applyFont="1" applyFill="1" applyBorder="1"/>
    <xf numFmtId="0" fontId="91" fillId="5" borderId="14" xfId="0" applyFont="1" applyFill="1" applyBorder="1"/>
    <xf numFmtId="0" fontId="91" fillId="5" borderId="17" xfId="0" applyFont="1" applyFill="1" applyBorder="1"/>
    <xf numFmtId="43" fontId="102" fillId="5" borderId="16" xfId="6" applyFont="1" applyFill="1" applyBorder="1"/>
    <xf numFmtId="0" fontId="87" fillId="5" borderId="10" xfId="0" applyFont="1" applyFill="1" applyBorder="1"/>
    <xf numFmtId="14" fontId="87" fillId="5" borderId="4" xfId="0" applyNumberFormat="1" applyFont="1" applyFill="1" applyBorder="1" applyAlignment="1">
      <alignment horizontal="center"/>
    </xf>
    <xf numFmtId="43" fontId="87" fillId="5" borderId="8" xfId="6" applyFont="1" applyFill="1" applyBorder="1"/>
    <xf numFmtId="0" fontId="87" fillId="5" borderId="11" xfId="0" applyFont="1" applyFill="1" applyBorder="1"/>
    <xf numFmtId="0" fontId="87" fillId="5" borderId="2" xfId="0" applyFont="1" applyFill="1" applyBorder="1"/>
    <xf numFmtId="14" fontId="94" fillId="5" borderId="2" xfId="0" applyNumberFormat="1" applyFont="1" applyFill="1" applyBorder="1" applyAlignment="1">
      <alignment horizontal="center"/>
    </xf>
    <xf numFmtId="43" fontId="103" fillId="5" borderId="9" xfId="6" applyFont="1" applyFill="1" applyBorder="1"/>
    <xf numFmtId="43" fontId="86" fillId="0" borderId="0" xfId="4" applyFont="1"/>
    <xf numFmtId="43" fontId="117" fillId="0" borderId="0" xfId="4" applyFont="1"/>
    <xf numFmtId="43" fontId="115" fillId="0" borderId="0" xfId="4" applyFont="1"/>
    <xf numFmtId="43" fontId="106" fillId="0" borderId="0" xfId="4" applyFont="1" applyBorder="1"/>
    <xf numFmtId="0" fontId="87" fillId="5" borderId="0" xfId="0" applyFont="1" applyFill="1"/>
    <xf numFmtId="43" fontId="87" fillId="5" borderId="0" xfId="0" applyNumberFormat="1" applyFont="1" applyFill="1"/>
    <xf numFmtId="0" fontId="118" fillId="5" borderId="4" xfId="0" applyFont="1" applyFill="1" applyBorder="1"/>
    <xf numFmtId="14" fontId="87" fillId="5" borderId="2" xfId="0" applyNumberFormat="1" applyFont="1" applyFill="1" applyBorder="1" applyAlignment="1">
      <alignment horizontal="center"/>
    </xf>
    <xf numFmtId="43" fontId="91" fillId="0" borderId="0" xfId="0" applyNumberFormat="1" applyFont="1"/>
    <xf numFmtId="0" fontId="87" fillId="5" borderId="30" xfId="0" applyFont="1" applyFill="1" applyBorder="1"/>
    <xf numFmtId="0" fontId="87" fillId="5" borderId="19" xfId="0" applyFont="1" applyFill="1" applyBorder="1"/>
    <xf numFmtId="14" fontId="87" fillId="5" borderId="19" xfId="0" applyNumberFormat="1" applyFont="1" applyFill="1" applyBorder="1" applyAlignment="1">
      <alignment horizontal="center"/>
    </xf>
    <xf numFmtId="43" fontId="87" fillId="5" borderId="18" xfId="6" applyFont="1" applyFill="1" applyBorder="1"/>
    <xf numFmtId="0" fontId="87" fillId="5" borderId="14" xfId="0" applyFont="1" applyFill="1" applyBorder="1"/>
    <xf numFmtId="0" fontId="87" fillId="5" borderId="17" xfId="0" applyFont="1" applyFill="1" applyBorder="1"/>
    <xf numFmtId="14" fontId="87" fillId="5" borderId="17" xfId="0" applyNumberFormat="1" applyFont="1" applyFill="1" applyBorder="1" applyAlignment="1">
      <alignment horizontal="center"/>
    </xf>
    <xf numFmtId="43" fontId="103" fillId="5" borderId="16" xfId="6" applyFont="1" applyFill="1" applyBorder="1"/>
    <xf numFmtId="43" fontId="90" fillId="0" borderId="0" xfId="4" applyFont="1"/>
    <xf numFmtId="0" fontId="87" fillId="5" borderId="19" xfId="0" applyFont="1" applyFill="1" applyBorder="1" applyAlignment="1">
      <alignment vertical="center"/>
    </xf>
    <xf numFmtId="0" fontId="91" fillId="4" borderId="0" xfId="0" applyFont="1" applyFill="1"/>
    <xf numFmtId="43" fontId="91" fillId="4" borderId="0" xfId="4" applyFont="1" applyFill="1"/>
    <xf numFmtId="43" fontId="91" fillId="0" borderId="7" xfId="0" applyNumberFormat="1" applyFont="1" applyBorder="1"/>
    <xf numFmtId="0" fontId="119" fillId="0" borderId="0" xfId="71" applyFont="1" applyAlignment="1">
      <alignment vertical="center"/>
    </xf>
    <xf numFmtId="0" fontId="108" fillId="5" borderId="4" xfId="0" applyFont="1" applyFill="1" applyBorder="1" applyAlignment="1">
      <alignment horizontal="center"/>
    </xf>
    <xf numFmtId="0" fontId="87" fillId="5" borderId="4" xfId="0" applyFont="1" applyFill="1" applyBorder="1" applyAlignment="1">
      <alignment horizontal="center" vertical="center"/>
    </xf>
    <xf numFmtId="49" fontId="87" fillId="5" borderId="4" xfId="0" applyNumberFormat="1" applyFont="1" applyFill="1" applyBorder="1" applyAlignment="1">
      <alignment horizontal="center"/>
    </xf>
    <xf numFmtId="43" fontId="87" fillId="0" borderId="9" xfId="4" applyFont="1" applyBorder="1"/>
    <xf numFmtId="43" fontId="103" fillId="0" borderId="9" xfId="4" applyFont="1" applyBorder="1"/>
    <xf numFmtId="43" fontId="102" fillId="0" borderId="9" xfId="4" applyFont="1" applyBorder="1"/>
    <xf numFmtId="0" fontId="87" fillId="0" borderId="16" xfId="0" applyFont="1" applyBorder="1"/>
    <xf numFmtId="0" fontId="91" fillId="0" borderId="2" xfId="0" applyFont="1" applyBorder="1" applyAlignment="1">
      <alignment horizontal="right"/>
    </xf>
    <xf numFmtId="4" fontId="86" fillId="0" borderId="0" xfId="78" applyNumberFormat="1" applyFont="1"/>
    <xf numFmtId="0" fontId="91" fillId="10" borderId="0" xfId="0" applyFont="1" applyFill="1" applyAlignment="1">
      <alignment horizontal="center"/>
    </xf>
    <xf numFmtId="0" fontId="90" fillId="0" borderId="0" xfId="90" applyFont="1"/>
    <xf numFmtId="0" fontId="86" fillId="0" borderId="0" xfId="90" applyFont="1"/>
    <xf numFmtId="0" fontId="86" fillId="0" borderId="0" xfId="90" quotePrefix="1" applyFont="1"/>
    <xf numFmtId="14" fontId="86" fillId="0" borderId="0" xfId="90" applyNumberFormat="1" applyFont="1"/>
    <xf numFmtId="0" fontId="86" fillId="9" borderId="0" xfId="90" applyFont="1" applyFill="1" applyAlignment="1">
      <alignment horizontal="center"/>
    </xf>
    <xf numFmtId="4" fontId="86" fillId="0" borderId="0" xfId="90" applyNumberFormat="1" applyFont="1"/>
    <xf numFmtId="4" fontId="86" fillId="0" borderId="7" xfId="90" applyNumberFormat="1" applyFont="1" applyBorder="1"/>
    <xf numFmtId="0" fontId="86" fillId="9" borderId="0" xfId="90" applyFont="1" applyFill="1"/>
    <xf numFmtId="0" fontId="86" fillId="0" borderId="0" xfId="90" applyFont="1" applyAlignment="1">
      <alignment horizontal="right"/>
    </xf>
    <xf numFmtId="14" fontId="86" fillId="0" borderId="0" xfId="98" applyNumberFormat="1" applyFont="1"/>
    <xf numFmtId="0" fontId="86" fillId="0" borderId="0" xfId="98" applyFont="1"/>
    <xf numFmtId="17" fontId="91" fillId="0" borderId="0" xfId="73" applyNumberFormat="1" applyFont="1"/>
    <xf numFmtId="43" fontId="87" fillId="0" borderId="0" xfId="73" applyNumberFormat="1" applyFont="1"/>
    <xf numFmtId="0" fontId="87" fillId="0" borderId="0" xfId="73" applyFont="1"/>
    <xf numFmtId="0" fontId="120" fillId="4" borderId="5" xfId="73" applyFont="1" applyFill="1" applyBorder="1" applyAlignment="1">
      <alignment horizontal="center" vertical="center" wrapText="1"/>
    </xf>
    <xf numFmtId="0" fontId="95" fillId="4" borderId="12" xfId="73" applyFont="1" applyFill="1" applyBorder="1" applyAlignment="1">
      <alignment horizontal="center" vertical="center" wrapText="1"/>
    </xf>
    <xf numFmtId="0" fontId="95" fillId="4" borderId="6" xfId="73" applyFont="1" applyFill="1" applyBorder="1" applyAlignment="1">
      <alignment horizontal="center" vertical="center" wrapText="1"/>
    </xf>
    <xf numFmtId="0" fontId="87" fillId="0" borderId="10" xfId="73" applyFont="1" applyBorder="1"/>
    <xf numFmtId="0" fontId="87" fillId="0" borderId="11" xfId="73" applyFont="1" applyBorder="1"/>
    <xf numFmtId="0" fontId="91" fillId="0" borderId="11" xfId="73" applyFont="1" applyBorder="1" applyAlignment="1">
      <alignment wrapText="1"/>
    </xf>
    <xf numFmtId="0" fontId="91" fillId="0" borderId="11" xfId="73" applyFont="1" applyBorder="1" applyAlignment="1">
      <alignment horizontal="center" wrapText="1"/>
    </xf>
    <xf numFmtId="0" fontId="91" fillId="0" borderId="11" xfId="73" applyFont="1" applyBorder="1" applyAlignment="1">
      <alignment vertical="center" wrapText="1"/>
    </xf>
    <xf numFmtId="0" fontId="91" fillId="0" borderId="11" xfId="73" applyFont="1" applyBorder="1"/>
    <xf numFmtId="0" fontId="87" fillId="0" borderId="14" xfId="73" applyFont="1" applyBorder="1"/>
    <xf numFmtId="4" fontId="86" fillId="0" borderId="0" xfId="374" applyNumberFormat="1" applyFont="1"/>
    <xf numFmtId="43" fontId="91" fillId="0" borderId="0" xfId="75" applyFont="1"/>
    <xf numFmtId="43" fontId="116" fillId="0" borderId="4" xfId="4" applyFont="1" applyBorder="1"/>
    <xf numFmtId="43" fontId="116" fillId="0" borderId="4" xfId="4" applyFont="1" applyFill="1" applyBorder="1"/>
    <xf numFmtId="43" fontId="116" fillId="0" borderId="8" xfId="4" applyFont="1" applyBorder="1"/>
    <xf numFmtId="43" fontId="116" fillId="0" borderId="2" xfId="4" applyFont="1" applyBorder="1"/>
    <xf numFmtId="43" fontId="122" fillId="0" borderId="2" xfId="4" applyFont="1" applyFill="1" applyBorder="1"/>
    <xf numFmtId="43" fontId="122" fillId="0" borderId="4" xfId="4" applyFont="1" applyFill="1" applyBorder="1"/>
    <xf numFmtId="43" fontId="122" fillId="0" borderId="8" xfId="4" applyFont="1" applyBorder="1"/>
    <xf numFmtId="4" fontId="86" fillId="0" borderId="0" xfId="109" applyNumberFormat="1" applyFont="1"/>
    <xf numFmtId="43" fontId="123" fillId="0" borderId="2" xfId="4" applyFont="1" applyFill="1" applyBorder="1"/>
    <xf numFmtId="43" fontId="123" fillId="0" borderId="2" xfId="4" applyFont="1" applyBorder="1"/>
    <xf numFmtId="43" fontId="123" fillId="0" borderId="9" xfId="4" applyFont="1" applyBorder="1"/>
    <xf numFmtId="43" fontId="91" fillId="0" borderId="2" xfId="4" applyFont="1" applyFill="1" applyBorder="1"/>
    <xf numFmtId="43" fontId="91" fillId="0" borderId="9" xfId="4" applyFont="1" applyBorder="1"/>
    <xf numFmtId="4" fontId="86" fillId="0" borderId="0" xfId="236" applyNumberFormat="1" applyFont="1"/>
    <xf numFmtId="43" fontId="103" fillId="0" borderId="2" xfId="4" applyFont="1" applyFill="1" applyBorder="1"/>
    <xf numFmtId="43" fontId="103" fillId="0" borderId="4" xfId="4" applyFont="1" applyFill="1" applyBorder="1"/>
    <xf numFmtId="43" fontId="103" fillId="0" borderId="8" xfId="4" applyFont="1" applyBorder="1"/>
    <xf numFmtId="43" fontId="124" fillId="0" borderId="2" xfId="4" applyFont="1" applyFill="1" applyBorder="1" applyAlignment="1">
      <alignment wrapText="1"/>
    </xf>
    <xf numFmtId="43" fontId="124" fillId="0" borderId="2" xfId="4" applyFont="1" applyBorder="1" applyAlignment="1">
      <alignment wrapText="1"/>
    </xf>
    <xf numFmtId="43" fontId="124" fillId="0" borderId="9" xfId="4" applyFont="1" applyBorder="1" applyAlignment="1">
      <alignment wrapText="1"/>
    </xf>
    <xf numFmtId="43" fontId="124" fillId="0" borderId="2" xfId="4" applyFont="1" applyFill="1" applyBorder="1"/>
    <xf numFmtId="43" fontId="124" fillId="0" borderId="2" xfId="4" applyFont="1" applyBorder="1"/>
    <xf numFmtId="43" fontId="102" fillId="0" borderId="2" xfId="4" applyFont="1" applyFill="1" applyBorder="1"/>
    <xf numFmtId="43" fontId="87" fillId="0" borderId="17" xfId="4" applyFont="1" applyBorder="1"/>
    <xf numFmtId="43" fontId="87" fillId="0" borderId="17" xfId="4" applyFont="1" applyFill="1" applyBorder="1"/>
    <xf numFmtId="43" fontId="87" fillId="0" borderId="16" xfId="4" applyFont="1" applyBorder="1"/>
    <xf numFmtId="4" fontId="86" fillId="0" borderId="0" xfId="77" applyNumberFormat="1" applyFont="1"/>
    <xf numFmtId="14" fontId="91" fillId="0" borderId="0" xfId="0" applyNumberFormat="1" applyFont="1"/>
    <xf numFmtId="0" fontId="87" fillId="0" borderId="10" xfId="18" applyFont="1" applyBorder="1"/>
    <xf numFmtId="4" fontId="90" fillId="0" borderId="0" xfId="113" applyNumberFormat="1" applyFont="1"/>
    <xf numFmtId="0" fontId="87" fillId="0" borderId="11" xfId="18" applyFont="1" applyBorder="1"/>
    <xf numFmtId="43" fontId="103" fillId="5" borderId="9" xfId="4" applyFont="1" applyFill="1" applyBorder="1"/>
    <xf numFmtId="0" fontId="91" fillId="0" borderId="11" xfId="18" applyFont="1" applyBorder="1"/>
    <xf numFmtId="43" fontId="102" fillId="0" borderId="9" xfId="4" applyFont="1" applyFill="1" applyBorder="1"/>
    <xf numFmtId="0" fontId="87" fillId="0" borderId="30" xfId="18" applyFont="1" applyBorder="1"/>
    <xf numFmtId="4" fontId="87" fillId="0" borderId="18" xfId="18" applyNumberFormat="1" applyFont="1" applyBorder="1"/>
    <xf numFmtId="4" fontId="87" fillId="0" borderId="8" xfId="18" applyNumberFormat="1" applyFont="1" applyBorder="1"/>
    <xf numFmtId="43" fontId="102" fillId="0" borderId="16" xfId="4" applyFont="1" applyBorder="1"/>
    <xf numFmtId="4" fontId="98" fillId="0" borderId="9" xfId="18" applyNumberFormat="1" applyFont="1" applyBorder="1"/>
    <xf numFmtId="0" fontId="87" fillId="0" borderId="43" xfId="0" applyFont="1" applyBorder="1" applyAlignment="1">
      <alignment horizontal="left"/>
    </xf>
    <xf numFmtId="43" fontId="87" fillId="0" borderId="37" xfId="4" applyFont="1" applyFill="1" applyBorder="1" applyAlignment="1">
      <alignment horizontal="center"/>
    </xf>
    <xf numFmtId="43" fontId="87" fillId="0" borderId="9" xfId="4" applyFont="1" applyFill="1" applyBorder="1"/>
    <xf numFmtId="43" fontId="87" fillId="0" borderId="0" xfId="45" applyFont="1"/>
    <xf numFmtId="4" fontId="86" fillId="0" borderId="0" xfId="86" applyNumberFormat="1" applyFont="1"/>
    <xf numFmtId="0" fontId="86" fillId="0" borderId="0" xfId="87" applyFont="1"/>
    <xf numFmtId="4" fontId="86" fillId="0" borderId="0" xfId="87" applyNumberFormat="1" applyFont="1"/>
    <xf numFmtId="0" fontId="86" fillId="0" borderId="0" xfId="76" applyFont="1"/>
    <xf numFmtId="4" fontId="86" fillId="0" borderId="0" xfId="76" applyNumberFormat="1" applyFont="1"/>
    <xf numFmtId="0" fontId="91" fillId="4" borderId="5" xfId="0" applyFont="1" applyFill="1" applyBorder="1" applyAlignment="1">
      <alignment horizontal="center" vertical="center"/>
    </xf>
    <xf numFmtId="0" fontId="91" fillId="4" borderId="6" xfId="0" applyFont="1" applyFill="1" applyBorder="1" applyAlignment="1">
      <alignment horizontal="center" vertical="center"/>
    </xf>
    <xf numFmtId="0" fontId="87" fillId="0" borderId="10" xfId="18" applyFont="1" applyBorder="1" applyAlignment="1">
      <alignment wrapText="1"/>
    </xf>
    <xf numFmtId="4" fontId="98" fillId="0" borderId="0" xfId="18" applyNumberFormat="1" applyFont="1"/>
    <xf numFmtId="0" fontId="91" fillId="0" borderId="11" xfId="18" applyFont="1" applyBorder="1" applyAlignment="1">
      <alignment wrapText="1"/>
    </xf>
    <xf numFmtId="43" fontId="87" fillId="0" borderId="0" xfId="45" applyFont="1" applyFill="1" applyBorder="1"/>
    <xf numFmtId="4" fontId="86" fillId="0" borderId="0" xfId="113" applyNumberFormat="1" applyFont="1"/>
    <xf numFmtId="0" fontId="86" fillId="0" borderId="0" xfId="113" applyFont="1"/>
    <xf numFmtId="4" fontId="91" fillId="0" borderId="0" xfId="0" applyNumberFormat="1" applyFont="1" applyAlignment="1">
      <alignment horizontal="center"/>
    </xf>
    <xf numFmtId="43" fontId="90" fillId="0" borderId="34" xfId="35" applyFont="1" applyBorder="1" applyAlignment="1">
      <alignment horizontal="right"/>
    </xf>
    <xf numFmtId="43" fontId="87" fillId="0" borderId="14" xfId="0" applyNumberFormat="1" applyFont="1" applyBorder="1"/>
    <xf numFmtId="8" fontId="87" fillId="0" borderId="0" xfId="0" applyNumberFormat="1" applyFont="1" applyAlignment="1">
      <alignment horizontal="left" vertical="center" indent="4"/>
    </xf>
    <xf numFmtId="43" fontId="86" fillId="0" borderId="9" xfId="4" applyFont="1" applyFill="1" applyBorder="1"/>
    <xf numFmtId="0" fontId="87" fillId="0" borderId="10" xfId="0" applyFont="1" applyBorder="1" applyAlignment="1">
      <alignment horizontal="left" wrapText="1"/>
    </xf>
    <xf numFmtId="43" fontId="105" fillId="0" borderId="36" xfId="4" applyFont="1" applyFill="1" applyBorder="1"/>
    <xf numFmtId="43" fontId="87" fillId="0" borderId="16" xfId="0" applyNumberFormat="1" applyFont="1" applyBorder="1"/>
    <xf numFmtId="43" fontId="86" fillId="0" borderId="0" xfId="259" applyFont="1" applyAlignment="1">
      <alignment horizontal="right"/>
    </xf>
    <xf numFmtId="43" fontId="86" fillId="5" borderId="0" xfId="224" applyFont="1" applyFill="1"/>
    <xf numFmtId="43" fontId="86" fillId="5" borderId="0" xfId="225" applyFont="1" applyFill="1" applyBorder="1"/>
    <xf numFmtId="0" fontId="90" fillId="0" borderId="5" xfId="0" applyFont="1" applyBorder="1" applyAlignment="1">
      <alignment horizontal="center"/>
    </xf>
    <xf numFmtId="0" fontId="86" fillId="0" borderId="4" xfId="0" applyFont="1" applyBorder="1" applyAlignment="1">
      <alignment vertical="center"/>
    </xf>
    <xf numFmtId="0" fontId="86" fillId="0" borderId="4" xfId="0" applyFont="1" applyBorder="1" applyAlignment="1">
      <alignment wrapText="1"/>
    </xf>
    <xf numFmtId="43" fontId="86" fillId="0" borderId="4" xfId="4" applyFont="1" applyFill="1" applyBorder="1" applyAlignment="1">
      <alignment wrapText="1"/>
    </xf>
    <xf numFmtId="43" fontId="86" fillId="0" borderId="4" xfId="6" applyFont="1" applyFill="1" applyBorder="1"/>
    <xf numFmtId="43" fontId="86" fillId="0" borderId="2" xfId="4" applyFont="1" applyFill="1" applyBorder="1"/>
    <xf numFmtId="43" fontId="86" fillId="0" borderId="2" xfId="6" applyFont="1" applyFill="1" applyBorder="1"/>
    <xf numFmtId="0" fontId="86" fillId="0" borderId="2" xfId="0" applyFont="1" applyBorder="1" applyAlignment="1">
      <alignment vertical="center"/>
    </xf>
    <xf numFmtId="0" fontId="86" fillId="0" borderId="2" xfId="0" applyFont="1" applyBorder="1" applyAlignment="1">
      <alignment horizontal="left" vertical="center"/>
    </xf>
    <xf numFmtId="43" fontId="105" fillId="0" borderId="2" xfId="6" applyFont="1" applyFill="1" applyBorder="1"/>
    <xf numFmtId="0" fontId="90" fillId="0" borderId="2" xfId="0" applyFont="1" applyBorder="1"/>
    <xf numFmtId="43" fontId="90" fillId="0" borderId="2" xfId="6" applyFont="1" applyFill="1" applyBorder="1"/>
    <xf numFmtId="0" fontId="111" fillId="0" borderId="2" xfId="0" applyFont="1" applyBorder="1" applyAlignment="1">
      <alignment horizontal="center"/>
    </xf>
    <xf numFmtId="43" fontId="95" fillId="0" borderId="2" xfId="6" applyFont="1" applyFill="1" applyBorder="1" applyAlignment="1"/>
    <xf numFmtId="43" fontId="125" fillId="0" borderId="2" xfId="6" applyFont="1" applyFill="1" applyBorder="1" applyAlignment="1"/>
    <xf numFmtId="43" fontId="106" fillId="0" borderId="2" xfId="4" applyFont="1" applyFill="1" applyBorder="1"/>
    <xf numFmtId="0" fontId="91" fillId="0" borderId="5" xfId="0" applyFont="1" applyBorder="1" applyAlignment="1">
      <alignment horizontal="center"/>
    </xf>
    <xf numFmtId="0" fontId="91" fillId="0" borderId="12" xfId="0" applyFont="1" applyBorder="1" applyAlignment="1">
      <alignment horizontal="center"/>
    </xf>
    <xf numFmtId="0" fontId="91" fillId="0" borderId="6" xfId="0" applyFont="1" applyBorder="1" applyAlignment="1">
      <alignment horizontal="center"/>
    </xf>
    <xf numFmtId="43" fontId="87" fillId="0" borderId="4" xfId="0" applyNumberFormat="1" applyFont="1" applyBorder="1"/>
    <xf numFmtId="43" fontId="87" fillId="0" borderId="2" xfId="0" applyNumberFormat="1" applyFont="1" applyBorder="1"/>
    <xf numFmtId="43" fontId="94" fillId="0" borderId="2" xfId="4" applyFont="1" applyBorder="1"/>
    <xf numFmtId="43" fontId="94" fillId="0" borderId="4" xfId="0" applyNumberFormat="1" applyFont="1" applyBorder="1"/>
    <xf numFmtId="43" fontId="90" fillId="11" borderId="7" xfId="4" applyFont="1" applyFill="1" applyBorder="1"/>
    <xf numFmtId="0" fontId="90" fillId="0" borderId="0" xfId="0" applyFont="1" applyAlignment="1">
      <alignment vertical="center"/>
    </xf>
    <xf numFmtId="0" fontId="90" fillId="0" borderId="5" xfId="0" applyFont="1" applyBorder="1" applyAlignment="1">
      <alignment horizontal="center" vertical="center"/>
    </xf>
    <xf numFmtId="0" fontId="90" fillId="0" borderId="12" xfId="0" applyFont="1" applyBorder="1" applyAlignment="1">
      <alignment horizontal="center" vertical="center"/>
    </xf>
    <xf numFmtId="0" fontId="109" fillId="0" borderId="0" xfId="0" applyFont="1"/>
    <xf numFmtId="43" fontId="90" fillId="0" borderId="6" xfId="4" applyFont="1" applyBorder="1" applyAlignment="1">
      <alignment horizontal="center"/>
    </xf>
    <xf numFmtId="0" fontId="86" fillId="0" borderId="4" xfId="0" applyFont="1" applyBorder="1"/>
    <xf numFmtId="43" fontId="86" fillId="0" borderId="4" xfId="4" applyFont="1" applyBorder="1"/>
    <xf numFmtId="43" fontId="86" fillId="0" borderId="2" xfId="4" applyFont="1" applyBorder="1"/>
    <xf numFmtId="43" fontId="105" fillId="0" borderId="2" xfId="4" applyFont="1" applyBorder="1"/>
    <xf numFmtId="43" fontId="86" fillId="0" borderId="0" xfId="4" applyFont="1" applyBorder="1"/>
    <xf numFmtId="43" fontId="126" fillId="0" borderId="41" xfId="4" applyFont="1" applyBorder="1"/>
    <xf numFmtId="0" fontId="90" fillId="0" borderId="7" xfId="0" applyFont="1" applyBorder="1"/>
    <xf numFmtId="43" fontId="90" fillId="0" borderId="7" xfId="0" applyNumberFormat="1" applyFont="1" applyBorder="1"/>
    <xf numFmtId="43" fontId="103" fillId="0" borderId="9" xfId="6" applyFont="1" applyBorder="1" applyAlignment="1">
      <alignment horizontal="right"/>
    </xf>
    <xf numFmtId="43" fontId="102" fillId="0" borderId="9" xfId="0" applyNumberFormat="1" applyFont="1" applyBorder="1"/>
    <xf numFmtId="43" fontId="91" fillId="0" borderId="16" xfId="0" applyNumberFormat="1" applyFont="1" applyBorder="1"/>
    <xf numFmtId="4" fontId="87" fillId="0" borderId="0" xfId="18" applyNumberFormat="1" applyFont="1"/>
    <xf numFmtId="43" fontId="91" fillId="0" borderId="16" xfId="4" applyFont="1" applyBorder="1"/>
    <xf numFmtId="4" fontId="86" fillId="0" borderId="0" xfId="240" applyNumberFormat="1" applyFont="1"/>
    <xf numFmtId="4" fontId="86" fillId="0" borderId="0" xfId="95" applyNumberFormat="1" applyFont="1"/>
    <xf numFmtId="0" fontId="89" fillId="0" borderId="10" xfId="0" applyFont="1" applyBorder="1"/>
    <xf numFmtId="4" fontId="111" fillId="0" borderId="8" xfId="18" applyNumberFormat="1" applyFont="1" applyBorder="1"/>
    <xf numFmtId="0" fontId="91" fillId="4" borderId="5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wrapText="1"/>
    </xf>
    <xf numFmtId="43" fontId="90" fillId="0" borderId="6" xfId="6" applyFont="1" applyFill="1" applyBorder="1" applyAlignment="1">
      <alignment horizontal="center" vertical="center"/>
    </xf>
    <xf numFmtId="4" fontId="13" fillId="0" borderId="0" xfId="483" applyNumberFormat="1"/>
    <xf numFmtId="0" fontId="87" fillId="0" borderId="23" xfId="0" applyFont="1" applyBorder="1"/>
    <xf numFmtId="17" fontId="87" fillId="0" borderId="0" xfId="0" applyNumberFormat="1" applyFont="1"/>
    <xf numFmtId="17" fontId="94" fillId="0" borderId="0" xfId="0" applyNumberFormat="1" applyFont="1"/>
    <xf numFmtId="0" fontId="91" fillId="0" borderId="41" xfId="0" applyFont="1" applyBorder="1" applyAlignment="1">
      <alignment horizontal="center" vertical="center"/>
    </xf>
    <xf numFmtId="0" fontId="91" fillId="0" borderId="0" xfId="0" applyFont="1" applyAlignment="1">
      <alignment horizontal="right" vertical="center"/>
    </xf>
    <xf numFmtId="0" fontId="91" fillId="0" borderId="38" xfId="0" applyFont="1" applyBorder="1" applyAlignment="1">
      <alignment horizontal="center" vertical="center"/>
    </xf>
    <xf numFmtId="43" fontId="87" fillId="0" borderId="19" xfId="0" applyNumberFormat="1" applyFont="1" applyBorder="1"/>
    <xf numFmtId="4" fontId="11" fillId="0" borderId="0" xfId="485" applyNumberFormat="1"/>
    <xf numFmtId="43" fontId="87" fillId="13" borderId="0" xfId="4" applyFont="1" applyFill="1"/>
    <xf numFmtId="0" fontId="87" fillId="13" borderId="0" xfId="0" applyFont="1" applyFill="1"/>
    <xf numFmtId="43" fontId="87" fillId="13" borderId="0" xfId="6" applyFont="1" applyFill="1"/>
    <xf numFmtId="43" fontId="86" fillId="13" borderId="0" xfId="4" applyFont="1" applyFill="1"/>
    <xf numFmtId="43" fontId="87" fillId="13" borderId="7" xfId="4" applyFont="1" applyFill="1" applyBorder="1"/>
    <xf numFmtId="4" fontId="128" fillId="0" borderId="0" xfId="936" applyNumberFormat="1" applyFont="1"/>
    <xf numFmtId="4" fontId="10" fillId="0" borderId="0" xfId="936" applyNumberFormat="1"/>
    <xf numFmtId="4" fontId="128" fillId="0" borderId="0" xfId="937" applyNumberFormat="1" applyFont="1"/>
    <xf numFmtId="43" fontId="92" fillId="0" borderId="0" xfId="259" applyFont="1" applyFill="1" applyAlignment="1">
      <alignment horizontal="right"/>
    </xf>
    <xf numFmtId="4" fontId="8" fillId="0" borderId="0" xfId="1833" applyNumberFormat="1"/>
    <xf numFmtId="0" fontId="8" fillId="0" borderId="0" xfId="1833"/>
    <xf numFmtId="4" fontId="129" fillId="0" borderId="0" xfId="1833" applyNumberFormat="1" applyFont="1"/>
    <xf numFmtId="43" fontId="87" fillId="0" borderId="8" xfId="4" applyFont="1" applyFill="1" applyBorder="1" applyAlignment="1">
      <alignment horizontal="right"/>
    </xf>
    <xf numFmtId="43" fontId="103" fillId="0" borderId="8" xfId="4" applyFont="1" applyFill="1" applyBorder="1"/>
    <xf numFmtId="43" fontId="87" fillId="0" borderId="8" xfId="6" applyFont="1" applyFill="1" applyBorder="1" applyAlignment="1">
      <alignment horizontal="right"/>
    </xf>
    <xf numFmtId="43" fontId="87" fillId="0" borderId="9" xfId="6" applyFont="1" applyFill="1" applyBorder="1" applyAlignment="1">
      <alignment horizontal="right"/>
    </xf>
    <xf numFmtId="43" fontId="103" fillId="0" borderId="9" xfId="6" applyFont="1" applyFill="1" applyBorder="1" applyAlignment="1">
      <alignment horizontal="right"/>
    </xf>
    <xf numFmtId="43" fontId="87" fillId="0" borderId="18" xfId="6" applyFont="1" applyFill="1" applyBorder="1" applyAlignment="1">
      <alignment horizontal="right"/>
    </xf>
    <xf numFmtId="4" fontId="111" fillId="0" borderId="4" xfId="212" applyNumberFormat="1" applyFont="1" applyBorder="1"/>
    <xf numFmtId="0" fontId="7" fillId="0" borderId="0" xfId="1834"/>
    <xf numFmtId="170" fontId="87" fillId="0" borderId="2" xfId="0" applyNumberFormat="1" applyFont="1" applyBorder="1"/>
    <xf numFmtId="168" fontId="87" fillId="0" borderId="2" xfId="4" applyNumberFormat="1" applyFont="1" applyBorder="1"/>
    <xf numFmtId="43" fontId="102" fillId="0" borderId="2" xfId="0" applyNumberFormat="1" applyFont="1" applyBorder="1"/>
    <xf numFmtId="0" fontId="87" fillId="0" borderId="11" xfId="0" applyFont="1" applyBorder="1" applyAlignment="1">
      <alignment wrapText="1"/>
    </xf>
    <xf numFmtId="0" fontId="99" fillId="0" borderId="11" xfId="0" applyFont="1" applyBorder="1" applyAlignment="1">
      <alignment wrapText="1"/>
    </xf>
    <xf numFmtId="0" fontId="87" fillId="0" borderId="17" xfId="0" applyFont="1" applyBorder="1"/>
    <xf numFmtId="168" fontId="103" fillId="0" borderId="2" xfId="4" applyNumberFormat="1" applyFont="1" applyBorder="1"/>
    <xf numFmtId="0" fontId="87" fillId="0" borderId="19" xfId="0" applyFont="1" applyBorder="1"/>
    <xf numFmtId="170" fontId="87" fillId="0" borderId="19" xfId="0" applyNumberFormat="1" applyFont="1" applyBorder="1"/>
    <xf numFmtId="168" fontId="87" fillId="0" borderId="19" xfId="4" applyNumberFormat="1" applyFont="1" applyBorder="1"/>
    <xf numFmtId="43" fontId="87" fillId="0" borderId="19" xfId="4" applyFont="1" applyBorder="1"/>
    <xf numFmtId="43" fontId="87" fillId="0" borderId="18" xfId="4" applyFont="1" applyBorder="1"/>
    <xf numFmtId="0" fontId="91" fillId="0" borderId="11" xfId="0" applyFont="1" applyBorder="1" applyAlignment="1">
      <alignment wrapText="1"/>
    </xf>
    <xf numFmtId="0" fontId="87" fillId="0" borderId="9" xfId="0" applyFont="1" applyBorder="1"/>
    <xf numFmtId="43" fontId="87" fillId="0" borderId="17" xfId="0" applyNumberFormat="1" applyFont="1" applyBorder="1"/>
    <xf numFmtId="43" fontId="91" fillId="0" borderId="28" xfId="4" applyFont="1" applyBorder="1" applyAlignment="1">
      <alignment horizontal="center" vertical="center" wrapText="1"/>
    </xf>
    <xf numFmtId="43" fontId="91" fillId="0" borderId="37" xfId="4" applyFont="1" applyBorder="1" applyAlignment="1">
      <alignment horizontal="center" vertical="center" wrapText="1"/>
    </xf>
    <xf numFmtId="168" fontId="102" fillId="0" borderId="2" xfId="0" applyNumberFormat="1" applyFont="1" applyBorder="1"/>
    <xf numFmtId="43" fontId="115" fillId="0" borderId="8" xfId="6" applyFont="1" applyFill="1" applyBorder="1" applyAlignment="1"/>
    <xf numFmtId="0" fontId="91" fillId="0" borderId="11" xfId="0" applyFont="1" applyBorder="1" applyAlignment="1">
      <alignment horizontal="right"/>
    </xf>
    <xf numFmtId="0" fontId="95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0" fontId="90" fillId="0" borderId="0" xfId="18" applyFont="1" applyAlignment="1">
      <alignment horizontal="center"/>
    </xf>
    <xf numFmtId="0" fontId="90" fillId="0" borderId="0" xfId="18" applyFont="1" applyAlignment="1">
      <alignment horizontal="center" vertical="center"/>
    </xf>
    <xf numFmtId="0" fontId="91" fillId="0" borderId="0" xfId="0" applyFont="1" applyAlignment="1">
      <alignment horizontal="left" vertical="center" wrapText="1"/>
    </xf>
    <xf numFmtId="43" fontId="90" fillId="0" borderId="0" xfId="18" applyNumberFormat="1" applyFont="1" applyAlignment="1">
      <alignment horizontal="center"/>
    </xf>
    <xf numFmtId="0" fontId="87" fillId="0" borderId="10" xfId="0" applyFont="1" applyBorder="1" applyAlignment="1">
      <alignment wrapText="1"/>
    </xf>
    <xf numFmtId="43" fontId="87" fillId="0" borderId="18" xfId="4" applyFont="1" applyFill="1" applyBorder="1"/>
    <xf numFmtId="43" fontId="87" fillId="0" borderId="9" xfId="0" applyNumberFormat="1" applyFont="1" applyBorder="1"/>
    <xf numFmtId="4" fontId="87" fillId="0" borderId="9" xfId="18" applyNumberFormat="1" applyFont="1" applyBorder="1"/>
    <xf numFmtId="0" fontId="130" fillId="5" borderId="4" xfId="0" applyFont="1" applyFill="1" applyBorder="1" applyAlignment="1">
      <alignment horizontal="center"/>
    </xf>
    <xf numFmtId="43" fontId="86" fillId="0" borderId="4" xfId="0" applyNumberFormat="1" applyFont="1" applyBorder="1"/>
    <xf numFmtId="17" fontId="86" fillId="0" borderId="0" xfId="0" applyNumberFormat="1" applyFont="1"/>
    <xf numFmtId="4" fontId="6" fillId="0" borderId="0" xfId="1835" applyNumberFormat="1"/>
    <xf numFmtId="4" fontId="5" fillId="0" borderId="0" xfId="1836" applyNumberFormat="1"/>
    <xf numFmtId="0" fontId="81" fillId="0" borderId="0" xfId="0" applyFont="1" applyAlignment="1">
      <alignment horizontal="center" vertical="center"/>
    </xf>
    <xf numFmtId="0" fontId="132" fillId="0" borderId="0" xfId="0" applyFont="1" applyAlignment="1">
      <alignment horizontal="left" vertical="center"/>
    </xf>
    <xf numFmtId="0" fontId="13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32" fillId="0" borderId="0" xfId="0" applyFont="1" applyAlignment="1">
      <alignment vertical="center"/>
    </xf>
    <xf numFmtId="0" fontId="81" fillId="0" borderId="5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81" fillId="0" borderId="6" xfId="0" applyFont="1" applyBorder="1" applyAlignment="1">
      <alignment horizontal="center" vertical="center" wrapText="1"/>
    </xf>
    <xf numFmtId="0" fontId="81" fillId="0" borderId="42" xfId="0" applyFont="1" applyBorder="1" applyAlignment="1">
      <alignment horizontal="center" vertical="center" wrapText="1"/>
    </xf>
    <xf numFmtId="0" fontId="81" fillId="12" borderId="5" xfId="0" applyFont="1" applyFill="1" applyBorder="1" applyAlignment="1">
      <alignment horizontal="center" vertical="center" wrapText="1"/>
    </xf>
    <xf numFmtId="0" fontId="81" fillId="0" borderId="12" xfId="0" applyFont="1" applyBorder="1" applyAlignment="1">
      <alignment horizontal="center" vertical="center" wrapText="1"/>
    </xf>
    <xf numFmtId="0" fontId="134" fillId="0" borderId="4" xfId="0" applyFont="1" applyBorder="1" applyAlignment="1">
      <alignment horizontal="center" vertical="center"/>
    </xf>
    <xf numFmtId="0" fontId="135" fillId="0" borderId="4" xfId="0" applyFont="1" applyBorder="1" applyAlignment="1">
      <alignment horizontal="left"/>
    </xf>
    <xf numFmtId="0" fontId="135" fillId="0" borderId="4" xfId="0" applyFont="1" applyBorder="1" applyAlignment="1">
      <alignment horizontal="center" vertical="center"/>
    </xf>
    <xf numFmtId="0" fontId="135" fillId="0" borderId="4" xfId="0" applyFont="1" applyBorder="1"/>
    <xf numFmtId="0" fontId="135" fillId="0" borderId="0" xfId="0" applyFont="1"/>
    <xf numFmtId="0" fontId="134" fillId="0" borderId="2" xfId="0" applyFont="1" applyBorder="1" applyAlignment="1">
      <alignment horizontal="center" vertical="center"/>
    </xf>
    <xf numFmtId="0" fontId="135" fillId="0" borderId="2" xfId="0" applyFont="1" applyBorder="1" applyAlignment="1">
      <alignment vertical="center"/>
    </xf>
    <xf numFmtId="0" fontId="135" fillId="0" borderId="2" xfId="0" applyFont="1" applyBorder="1" applyAlignment="1">
      <alignment horizontal="center" vertical="center"/>
    </xf>
    <xf numFmtId="0" fontId="135" fillId="0" borderId="2" xfId="0" applyFont="1" applyBorder="1"/>
    <xf numFmtId="0" fontId="135" fillId="0" borderId="2" xfId="0" applyFont="1" applyBorder="1" applyAlignment="1">
      <alignment horizontal="center"/>
    </xf>
    <xf numFmtId="0" fontId="135" fillId="0" borderId="2" xfId="0" applyFont="1" applyBorder="1" applyAlignment="1">
      <alignment horizontal="left" vertical="center"/>
    </xf>
    <xf numFmtId="0" fontId="135" fillId="0" borderId="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1" fontId="13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43" fontId="92" fillId="0" borderId="0" xfId="4" applyFont="1" applyAlignment="1">
      <alignment horizontal="center"/>
    </xf>
    <xf numFmtId="43" fontId="87" fillId="0" borderId="8" xfId="4" applyFont="1" applyFill="1" applyBorder="1"/>
    <xf numFmtId="0" fontId="99" fillId="0" borderId="30" xfId="18" applyFont="1" applyBorder="1"/>
    <xf numFmtId="4" fontId="128" fillId="0" borderId="0" xfId="1836" applyNumberFormat="1" applyFont="1"/>
    <xf numFmtId="43" fontId="3" fillId="0" borderId="0" xfId="1840" applyFont="1"/>
    <xf numFmtId="43" fontId="135" fillId="0" borderId="4" xfId="4" applyFont="1" applyFill="1" applyBorder="1"/>
    <xf numFmtId="43" fontId="135" fillId="0" borderId="4" xfId="0" applyNumberFormat="1" applyFont="1" applyBorder="1"/>
    <xf numFmtId="0" fontId="135" fillId="12" borderId="4" xfId="0" applyFont="1" applyFill="1" applyBorder="1" applyAlignment="1">
      <alignment horizontal="right"/>
    </xf>
    <xf numFmtId="43" fontId="135" fillId="0" borderId="2" xfId="4" applyFont="1" applyFill="1" applyBorder="1"/>
    <xf numFmtId="0" fontId="135" fillId="12" borderId="2" xfId="0" applyFont="1" applyFill="1" applyBorder="1" applyAlignment="1">
      <alignment horizontal="right"/>
    </xf>
    <xf numFmtId="0" fontId="135" fillId="14" borderId="2" xfId="0" applyFont="1" applyFill="1" applyBorder="1"/>
    <xf numFmtId="0" fontId="0" fillId="14" borderId="2" xfId="0" applyFill="1" applyBorder="1"/>
    <xf numFmtId="43" fontId="0" fillId="0" borderId="0" xfId="4" applyFont="1"/>
    <xf numFmtId="0" fontId="92" fillId="0" borderId="0" xfId="0" applyFont="1"/>
    <xf numFmtId="0" fontId="136" fillId="0" borderId="6" xfId="0" applyFont="1" applyBorder="1" applyAlignment="1">
      <alignment horizontal="center" vertical="center" wrapText="1"/>
    </xf>
    <xf numFmtId="0" fontId="137" fillId="0" borderId="4" xfId="0" applyFont="1" applyBorder="1"/>
    <xf numFmtId="0" fontId="137" fillId="0" borderId="2" xfId="0" applyFont="1" applyBorder="1"/>
    <xf numFmtId="0" fontId="89" fillId="0" borderId="2" xfId="0" applyFont="1" applyBorder="1"/>
    <xf numFmtId="0" fontId="138" fillId="0" borderId="4" xfId="0" applyFont="1" applyBorder="1"/>
    <xf numFmtId="43" fontId="138" fillId="0" borderId="4" xfId="0" applyNumberFormat="1" applyFont="1" applyBorder="1"/>
    <xf numFmtId="0" fontId="139" fillId="0" borderId="0" xfId="0" applyFont="1"/>
    <xf numFmtId="43" fontId="139" fillId="0" borderId="0" xfId="4" applyFont="1"/>
    <xf numFmtId="0" fontId="139" fillId="0" borderId="1" xfId="0" applyFont="1" applyBorder="1" applyAlignment="1">
      <alignment horizontal="center"/>
    </xf>
    <xf numFmtId="43" fontId="140" fillId="0" borderId="0" xfId="4" applyFont="1"/>
    <xf numFmtId="43" fontId="141" fillId="15" borderId="0" xfId="4" applyFont="1" applyFill="1"/>
    <xf numFmtId="43" fontId="142" fillId="0" borderId="0" xfId="4" applyFont="1"/>
    <xf numFmtId="0" fontId="137" fillId="0" borderId="4" xfId="0" applyFont="1" applyBorder="1" applyAlignment="1">
      <alignment horizontal="center"/>
    </xf>
    <xf numFmtId="0" fontId="137" fillId="0" borderId="4" xfId="0" applyFont="1" applyBorder="1" applyAlignment="1">
      <alignment horizontal="right"/>
    </xf>
    <xf numFmtId="0" fontId="137" fillId="0" borderId="2" xfId="0" applyFont="1" applyBorder="1" applyAlignment="1">
      <alignment horizontal="center"/>
    </xf>
    <xf numFmtId="0" fontId="137" fillId="0" borderId="2" xfId="0" applyFont="1" applyBorder="1" applyAlignment="1">
      <alignment horizontal="right"/>
    </xf>
    <xf numFmtId="0" fontId="89" fillId="0" borderId="2" xfId="0" applyFont="1" applyBorder="1" applyAlignment="1">
      <alignment horizontal="center"/>
    </xf>
    <xf numFmtId="0" fontId="143" fillId="0" borderId="12" xfId="0" applyFont="1" applyBorder="1" applyAlignment="1">
      <alignment horizontal="center" vertical="center" wrapText="1"/>
    </xf>
    <xf numFmtId="0" fontId="144" fillId="0" borderId="12" xfId="0" applyFont="1" applyBorder="1" applyAlignment="1">
      <alignment horizontal="center" vertical="center" wrapText="1"/>
    </xf>
    <xf numFmtId="0" fontId="86" fillId="0" borderId="4" xfId="0" applyFont="1" applyBorder="1" applyAlignment="1">
      <alignment horizontal="center"/>
    </xf>
    <xf numFmtId="4" fontId="2" fillId="0" borderId="0" xfId="1841" applyNumberFormat="1"/>
    <xf numFmtId="43" fontId="105" fillId="0" borderId="0" xfId="257" applyFont="1" applyAlignment="1">
      <alignment horizontal="right"/>
    </xf>
    <xf numFmtId="43" fontId="94" fillId="0" borderId="7" xfId="4" applyFont="1" applyBorder="1"/>
    <xf numFmtId="4" fontId="1" fillId="0" borderId="0" xfId="1842" applyNumberFormat="1"/>
    <xf numFmtId="0" fontId="91" fillId="0" borderId="44" xfId="18" applyFont="1" applyBorder="1" applyAlignment="1">
      <alignment wrapText="1"/>
    </xf>
    <xf numFmtId="43" fontId="102" fillId="0" borderId="46" xfId="4" applyFont="1" applyFill="1" applyBorder="1"/>
    <xf numFmtId="0" fontId="89" fillId="0" borderId="10" xfId="18" applyFont="1" applyBorder="1" applyAlignment="1">
      <alignment wrapText="1"/>
    </xf>
    <xf numFmtId="43" fontId="89" fillId="0" borderId="8" xfId="4" applyFont="1" applyFill="1" applyBorder="1"/>
    <xf numFmtId="43" fontId="145" fillId="0" borderId="8" xfId="4" applyFont="1" applyFill="1" applyBorder="1"/>
    <xf numFmtId="43" fontId="146" fillId="0" borderId="9" xfId="4" applyFont="1" applyFill="1" applyBorder="1"/>
    <xf numFmtId="43" fontId="74" fillId="0" borderId="0" xfId="4" applyFont="1"/>
    <xf numFmtId="43" fontId="86" fillId="0" borderId="4" xfId="6" applyFont="1" applyBorder="1"/>
    <xf numFmtId="43" fontId="86" fillId="0" borderId="4" xfId="6" applyFont="1" applyBorder="1" applyAlignment="1">
      <alignment horizontal="center" vertical="center" wrapText="1"/>
    </xf>
    <xf numFmtId="0" fontId="86" fillId="0" borderId="4" xfId="0" applyFont="1" applyBorder="1" applyAlignment="1">
      <alignment horizontal="center" vertical="center"/>
    </xf>
    <xf numFmtId="43" fontId="86" fillId="0" borderId="8" xfId="4" applyFont="1" applyBorder="1" applyAlignment="1">
      <alignment horizontal="right"/>
    </xf>
    <xf numFmtId="43" fontId="105" fillId="0" borderId="2" xfId="6" applyFont="1" applyBorder="1"/>
    <xf numFmtId="43" fontId="86" fillId="0" borderId="2" xfId="6" applyFont="1" applyBorder="1" applyAlignment="1">
      <alignment horizontal="center" wrapText="1"/>
    </xf>
    <xf numFmtId="43" fontId="105" fillId="0" borderId="2" xfId="0" applyNumberFormat="1" applyFont="1" applyBorder="1"/>
    <xf numFmtId="0" fontId="90" fillId="0" borderId="2" xfId="0" applyFont="1" applyBorder="1" applyAlignment="1">
      <alignment horizontal="center"/>
    </xf>
    <xf numFmtId="0" fontId="113" fillId="0" borderId="2" xfId="0" applyFont="1" applyBorder="1"/>
    <xf numFmtId="43" fontId="86" fillId="0" borderId="4" xfId="6" applyFont="1" applyBorder="1" applyAlignment="1">
      <alignment vertical="center"/>
    </xf>
    <xf numFmtId="43" fontId="86" fillId="0" borderId="4" xfId="0" applyNumberFormat="1" applyFont="1" applyBorder="1" applyAlignment="1">
      <alignment vertical="center"/>
    </xf>
    <xf numFmtId="0" fontId="90" fillId="4" borderId="5" xfId="0" applyFont="1" applyFill="1" applyBorder="1" applyAlignment="1">
      <alignment horizontal="center" vertical="center"/>
    </xf>
    <xf numFmtId="0" fontId="90" fillId="4" borderId="12" xfId="0" applyFont="1" applyFill="1" applyBorder="1" applyAlignment="1">
      <alignment horizontal="center" vertical="center"/>
    </xf>
    <xf numFmtId="0" fontId="90" fillId="4" borderId="12" xfId="0" applyFont="1" applyFill="1" applyBorder="1" applyAlignment="1">
      <alignment horizontal="center" vertical="center" wrapText="1"/>
    </xf>
    <xf numFmtId="0" fontId="90" fillId="4" borderId="6" xfId="0" applyFont="1" applyFill="1" applyBorder="1" applyAlignment="1">
      <alignment horizontal="center" vertical="center" wrapText="1"/>
    </xf>
    <xf numFmtId="0" fontId="120" fillId="8" borderId="2" xfId="0" applyFont="1" applyFill="1" applyBorder="1" applyAlignment="1">
      <alignment horizontal="center"/>
    </xf>
    <xf numFmtId="0" fontId="121" fillId="8" borderId="2" xfId="0" applyFont="1" applyFill="1" applyBorder="1" applyAlignment="1">
      <alignment horizontal="left" vertical="center"/>
    </xf>
    <xf numFmtId="0" fontId="121" fillId="8" borderId="2" xfId="0" applyFont="1" applyFill="1" applyBorder="1" applyAlignment="1">
      <alignment horizontal="center" vertical="center"/>
    </xf>
    <xf numFmtId="0" fontId="87" fillId="8" borderId="2" xfId="0" applyFont="1" applyFill="1" applyBorder="1" applyAlignment="1">
      <alignment horizontal="center"/>
    </xf>
    <xf numFmtId="14" fontId="87" fillId="8" borderId="2" xfId="0" applyNumberFormat="1" applyFont="1" applyFill="1" applyBorder="1" applyAlignment="1">
      <alignment horizontal="center"/>
    </xf>
    <xf numFmtId="4" fontId="87" fillId="8" borderId="2" xfId="0" applyNumberFormat="1" applyFont="1" applyFill="1" applyBorder="1"/>
    <xf numFmtId="4" fontId="98" fillId="8" borderId="2" xfId="0" applyNumberFormat="1" applyFont="1" applyFill="1" applyBorder="1"/>
    <xf numFmtId="4" fontId="120" fillId="8" borderId="2" xfId="0" applyNumberFormat="1" applyFont="1" applyFill="1" applyBorder="1"/>
    <xf numFmtId="0" fontId="86" fillId="8" borderId="2" xfId="0" applyFont="1" applyFill="1" applyBorder="1" applyAlignment="1">
      <alignment horizontal="center"/>
    </xf>
    <xf numFmtId="14" fontId="86" fillId="8" borderId="2" xfId="0" applyNumberFormat="1" applyFont="1" applyFill="1" applyBorder="1" applyAlignment="1">
      <alignment horizontal="center"/>
    </xf>
    <xf numFmtId="4" fontId="86" fillId="8" borderId="2" xfId="0" applyNumberFormat="1" applyFont="1" applyFill="1" applyBorder="1"/>
    <xf numFmtId="0" fontId="147" fillId="8" borderId="2" xfId="0" applyFont="1" applyFill="1" applyBorder="1" applyAlignment="1">
      <alignment horizontal="center"/>
    </xf>
    <xf numFmtId="14" fontId="108" fillId="8" borderId="2" xfId="0" applyNumberFormat="1" applyFont="1" applyFill="1" applyBorder="1" applyAlignment="1">
      <alignment horizontal="center"/>
    </xf>
    <xf numFmtId="0" fontId="108" fillId="8" borderId="2" xfId="0" applyFont="1" applyFill="1" applyBorder="1" applyAlignment="1">
      <alignment horizontal="center"/>
    </xf>
    <xf numFmtId="0" fontId="121" fillId="8" borderId="29" xfId="0" applyFont="1" applyFill="1" applyBorder="1" applyAlignment="1">
      <alignment horizontal="center" vertical="center"/>
    </xf>
    <xf numFmtId="4" fontId="120" fillId="8" borderId="29" xfId="0" applyNumberFormat="1" applyFont="1" applyFill="1" applyBorder="1"/>
    <xf numFmtId="0" fontId="91" fillId="0" borderId="5" xfId="0" applyFont="1" applyBorder="1"/>
    <xf numFmtId="0" fontId="91" fillId="0" borderId="12" xfId="0" applyFont="1" applyBorder="1"/>
    <xf numFmtId="43" fontId="102" fillId="0" borderId="6" xfId="4" applyFont="1" applyBorder="1"/>
    <xf numFmtId="0" fontId="99" fillId="0" borderId="11" xfId="18" applyFont="1" applyBorder="1"/>
    <xf numFmtId="4" fontId="98" fillId="0" borderId="8" xfId="18" applyNumberFormat="1" applyFont="1" applyBorder="1"/>
    <xf numFmtId="43" fontId="103" fillId="0" borderId="9" xfId="4" applyFont="1" applyFill="1" applyBorder="1"/>
    <xf numFmtId="43" fontId="88" fillId="0" borderId="0" xfId="4" applyFont="1" applyBorder="1" applyAlignment="1">
      <alignment horizontal="left" vertical="center" wrapText="1"/>
    </xf>
    <xf numFmtId="0" fontId="87" fillId="0" borderId="0" xfId="0" applyFont="1" applyAlignment="1">
      <alignment horizontal="center"/>
    </xf>
    <xf numFmtId="43" fontId="87" fillId="0" borderId="0" xfId="4" applyFont="1" applyAlignment="1">
      <alignment horizontal="center"/>
    </xf>
    <xf numFmtId="43" fontId="91" fillId="0" borderId="0" xfId="4" applyFont="1" applyAlignment="1">
      <alignment horizontal="center"/>
    </xf>
    <xf numFmtId="0" fontId="88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49" fontId="88" fillId="0" borderId="0" xfId="0" applyNumberFormat="1" applyFont="1" applyAlignment="1" applyProtection="1">
      <alignment horizontal="center"/>
      <protection locked="0"/>
    </xf>
    <xf numFmtId="166" fontId="89" fillId="0" borderId="0" xfId="0" applyNumberFormat="1" applyFont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91" fillId="0" borderId="0" xfId="0" applyFont="1" applyAlignment="1">
      <alignment horizontal="center" vertical="top"/>
    </xf>
    <xf numFmtId="0" fontId="87" fillId="0" borderId="0" xfId="0" applyFont="1" applyAlignment="1">
      <alignment horizontal="center" vertical="top"/>
    </xf>
    <xf numFmtId="43" fontId="91" fillId="0" borderId="0" xfId="4" applyFont="1" applyAlignment="1">
      <alignment horizontal="center" vertical="top"/>
    </xf>
    <xf numFmtId="43" fontId="87" fillId="0" borderId="0" xfId="4" applyFont="1" applyAlignment="1">
      <alignment horizontal="center" vertical="top"/>
    </xf>
    <xf numFmtId="49" fontId="88" fillId="0" borderId="5" xfId="0" applyNumberFormat="1" applyFont="1" applyBorder="1" applyAlignment="1">
      <alignment horizontal="center" vertical="center"/>
    </xf>
    <xf numFmtId="49" fontId="88" fillId="0" borderId="12" xfId="0" applyNumberFormat="1" applyFont="1" applyBorder="1" applyAlignment="1">
      <alignment horizontal="center" vertical="center"/>
    </xf>
    <xf numFmtId="0" fontId="91" fillId="0" borderId="30" xfId="0" applyFont="1" applyBorder="1" applyAlignment="1">
      <alignment horizontal="center" vertical="center"/>
    </xf>
    <xf numFmtId="0" fontId="91" fillId="0" borderId="44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 vertical="center" wrapText="1"/>
    </xf>
    <xf numFmtId="0" fontId="91" fillId="0" borderId="29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/>
    </xf>
    <xf numFmtId="0" fontId="89" fillId="0" borderId="29" xfId="0" applyFont="1" applyBorder="1" applyAlignment="1">
      <alignment horizontal="center" vertical="center"/>
    </xf>
    <xf numFmtId="0" fontId="94" fillId="0" borderId="29" xfId="0" applyFont="1" applyBorder="1" applyAlignment="1">
      <alignment horizontal="center" vertical="center" wrapText="1"/>
    </xf>
    <xf numFmtId="0" fontId="94" fillId="0" borderId="28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172" fontId="91" fillId="0" borderId="0" xfId="0" applyNumberFormat="1" applyFont="1" applyAlignment="1">
      <alignment horizontal="center"/>
    </xf>
    <xf numFmtId="0" fontId="108" fillId="0" borderId="28" xfId="0" applyFont="1" applyBorder="1" applyAlignment="1">
      <alignment horizontal="center" wrapText="1"/>
    </xf>
    <xf numFmtId="0" fontId="108" fillId="0" borderId="4" xfId="0" applyFont="1" applyBorder="1" applyAlignment="1">
      <alignment horizontal="center" wrapText="1"/>
    </xf>
    <xf numFmtId="0" fontId="91" fillId="4" borderId="30" xfId="0" applyFont="1" applyFill="1" applyBorder="1" applyAlignment="1">
      <alignment horizontal="center" vertical="center" wrapText="1"/>
    </xf>
    <xf numFmtId="0" fontId="91" fillId="4" borderId="19" xfId="0" applyFont="1" applyFill="1" applyBorder="1" applyAlignment="1">
      <alignment horizontal="center" vertical="center" wrapText="1"/>
    </xf>
    <xf numFmtId="0" fontId="91" fillId="4" borderId="14" xfId="0" applyFont="1" applyFill="1" applyBorder="1" applyAlignment="1">
      <alignment horizontal="center" vertical="center" wrapText="1"/>
    </xf>
    <xf numFmtId="0" fontId="91" fillId="4" borderId="17" xfId="0" applyFont="1" applyFill="1" applyBorder="1" applyAlignment="1">
      <alignment horizontal="center" vertical="center" wrapText="1"/>
    </xf>
    <xf numFmtId="0" fontId="91" fillId="4" borderId="39" xfId="0" applyFont="1" applyFill="1" applyBorder="1" applyAlignment="1">
      <alignment horizontal="center" vertical="center" wrapText="1"/>
    </xf>
    <xf numFmtId="0" fontId="91" fillId="4" borderId="40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/>
    </xf>
    <xf numFmtId="173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 wrapText="1"/>
    </xf>
    <xf numFmtId="0" fontId="91" fillId="4" borderId="42" xfId="0" applyFont="1" applyFill="1" applyBorder="1" applyAlignment="1">
      <alignment horizontal="center"/>
    </xf>
    <xf numFmtId="0" fontId="91" fillId="4" borderId="38" xfId="0" applyFont="1" applyFill="1" applyBorder="1" applyAlignment="1">
      <alignment horizontal="center"/>
    </xf>
    <xf numFmtId="173" fontId="91" fillId="0" borderId="0" xfId="0" applyNumberFormat="1" applyFont="1" applyAlignment="1">
      <alignment horizontal="center"/>
    </xf>
    <xf numFmtId="0" fontId="94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127" fillId="0" borderId="0" xfId="0" applyFont="1" applyAlignment="1">
      <alignment horizontal="center"/>
    </xf>
    <xf numFmtId="0" fontId="91" fillId="0" borderId="0" xfId="73" applyFont="1" applyAlignment="1">
      <alignment horizontal="center"/>
    </xf>
    <xf numFmtId="173" fontId="91" fillId="0" borderId="0" xfId="73" applyNumberFormat="1" applyFont="1" applyAlignment="1">
      <alignment horizontal="center"/>
    </xf>
    <xf numFmtId="0" fontId="91" fillId="0" borderId="0" xfId="73" applyFont="1" applyAlignment="1">
      <alignment horizontal="center" vertical="center"/>
    </xf>
    <xf numFmtId="172" fontId="88" fillId="0" borderId="0" xfId="0" applyNumberFormat="1" applyFont="1" applyAlignment="1">
      <alignment horizontal="center"/>
    </xf>
  </cellXfs>
  <cellStyles count="1843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Hipervínculo" xfId="71" builtinId="8"/>
    <cellStyle name="Millares" xfId="4" builtinId="3"/>
    <cellStyle name="Millares 10" xfId="37" xr:uid="{D55D6799-BD76-4726-ACE6-B1A828065071}"/>
    <cellStyle name="Millares 10 2" xfId="58" xr:uid="{4B8F86F0-49DB-499A-A127-7D9750FD6D38}"/>
    <cellStyle name="Millares 10 2 2" xfId="152" xr:uid="{EBD91C5C-B643-4BF6-885B-9C009430A60B}"/>
    <cellStyle name="Millares 10 2 2 2" xfId="377" xr:uid="{1F4752D7-9B48-49BE-8A82-D3FC6BA9D8A0}"/>
    <cellStyle name="Millares 10 2 2 2 2" xfId="827" xr:uid="{FDB3C3A1-60EB-476C-A2D6-8CFF9D21DB76}"/>
    <cellStyle name="Millares 10 2 2 2 2 2" xfId="1724" xr:uid="{56A5B62D-E904-4B80-83A2-709013F74DFC}"/>
    <cellStyle name="Millares 10 2 2 2 3" xfId="1278" xr:uid="{91EB1EC8-926F-4AFF-AFD7-D378E56D4945}"/>
    <cellStyle name="Millares 10 2 2 3" xfId="604" xr:uid="{FF93E31C-3991-4BA9-BDAF-034DB4DE7F26}"/>
    <cellStyle name="Millares 10 2 2 3 2" xfId="1501" xr:uid="{50A1D465-F491-4727-9A5D-4DC1197BCB16}"/>
    <cellStyle name="Millares 10 2 2 4" xfId="1055" xr:uid="{3D13C8C0-813B-4BBD-A908-ABC6E1845B57}"/>
    <cellStyle name="Millares 10 2 3" xfId="290" xr:uid="{F9A47754-7197-4F97-BCC0-5A04E32C487A}"/>
    <cellStyle name="Millares 10 2 3 2" xfId="740" xr:uid="{BC6E2EA6-055A-449F-BF59-E68385E73E46}"/>
    <cellStyle name="Millares 10 2 3 2 2" xfId="1637" xr:uid="{652B0407-04C5-4360-91FC-272792BBEF0B}"/>
    <cellStyle name="Millares 10 2 3 3" xfId="1191" xr:uid="{21DA7D5F-2F52-4A7B-B42C-B29AF50C5560}"/>
    <cellStyle name="Millares 10 2 4" xfId="517" xr:uid="{0CEC0922-C43D-49AF-82CA-052FDA836327}"/>
    <cellStyle name="Millares 10 2 4 2" xfId="1414" xr:uid="{1BFE7DEE-292E-4DBA-A12E-3D4FEF6F99EF}"/>
    <cellStyle name="Millares 10 2 5" xfId="968" xr:uid="{1B5488ED-CAE4-4228-85A4-DE2541BEB066}"/>
    <cellStyle name="Millares 10 3" xfId="134" xr:uid="{0F919B63-34BE-420D-B8DC-98AA51B9DA24}"/>
    <cellStyle name="Millares 10 3 2" xfId="360" xr:uid="{56C79925-17A4-478E-A385-6491E286E736}"/>
    <cellStyle name="Millares 10 3 2 2" xfId="810" xr:uid="{CBA9B7EC-1788-4128-ADA9-1ACDA1FCE8EC}"/>
    <cellStyle name="Millares 10 3 2 2 2" xfId="1707" xr:uid="{CD13C382-68B4-46C7-AF7D-5158C00A4859}"/>
    <cellStyle name="Millares 10 3 2 3" xfId="1261" xr:uid="{1C837733-871B-4AC1-8C57-144B5880D648}"/>
    <cellStyle name="Millares 10 3 3" xfId="587" xr:uid="{DB9475C0-F0DD-41FA-BE49-A62103C5E1F4}"/>
    <cellStyle name="Millares 10 3 3 2" xfId="1484" xr:uid="{8DD5844C-91B0-4473-8A2B-C1C143C11150}"/>
    <cellStyle name="Millares 10 3 4" xfId="1038" xr:uid="{27C93ECD-0B35-4924-9A85-58D927D08709}"/>
    <cellStyle name="Millares 10 4" xfId="273" xr:uid="{57B8340A-B6E2-49D1-B726-CDA8A8798182}"/>
    <cellStyle name="Millares 10 4 2" xfId="723" xr:uid="{21F6EBA5-570D-455E-B92A-FA3973682621}"/>
    <cellStyle name="Millares 10 4 2 2" xfId="1620" xr:uid="{8DD554D1-7901-444F-85EA-FAC5C63C828D}"/>
    <cellStyle name="Millares 10 4 3" xfId="1174" xr:uid="{6E1B58B6-6486-4D34-BA45-50C0A0A96E55}"/>
    <cellStyle name="Millares 10 5" xfId="499" xr:uid="{A759ABFC-D14C-40DB-B8EF-633EC7A4E32A}"/>
    <cellStyle name="Millares 10 5 2" xfId="1397" xr:uid="{1FECA630-91F0-42FF-8DEB-58409526FC7B}"/>
    <cellStyle name="Millares 10 6" xfId="950" xr:uid="{09EB13F6-DB30-4317-913A-D04835FDC4C4}"/>
    <cellStyle name="Millares 11" xfId="39" xr:uid="{5B5B509D-9AB8-4DF4-9881-A5AD4E3C9292}"/>
    <cellStyle name="Millares 11 2" xfId="60" xr:uid="{E47AF4B6-51AF-4C58-90E1-485FA4EAD385}"/>
    <cellStyle name="Millares 11 2 2" xfId="154" xr:uid="{7BE4B236-99B1-4C23-8934-4BC5102B3336}"/>
    <cellStyle name="Millares 11 2 2 2" xfId="379" xr:uid="{B7998C9A-E92F-4E37-9312-542B005E0D0F}"/>
    <cellStyle name="Millares 11 2 2 2 2" xfId="829" xr:uid="{9612411A-B634-4DA4-A3EE-3910A37F53C7}"/>
    <cellStyle name="Millares 11 2 2 2 2 2" xfId="1726" xr:uid="{A07DCD12-8008-43F2-ABC6-E6BCCDE3B299}"/>
    <cellStyle name="Millares 11 2 2 2 3" xfId="1280" xr:uid="{A77A0AAA-94DA-433D-BA93-7487EAE04C88}"/>
    <cellStyle name="Millares 11 2 2 3" xfId="606" xr:uid="{53A316B8-0627-4E5D-A2C1-2718E5B54EFB}"/>
    <cellStyle name="Millares 11 2 2 3 2" xfId="1503" xr:uid="{D0C1E99D-49A2-464D-A106-E5AE01EAA014}"/>
    <cellStyle name="Millares 11 2 2 4" xfId="1057" xr:uid="{571C9101-158A-42D7-966E-41D358B8C911}"/>
    <cellStyle name="Millares 11 2 3" xfId="292" xr:uid="{E0354217-CED4-462A-A43E-FF4684328402}"/>
    <cellStyle name="Millares 11 2 3 2" xfId="742" xr:uid="{880F8F78-D494-416A-9A4B-5B1210981355}"/>
    <cellStyle name="Millares 11 2 3 2 2" xfId="1639" xr:uid="{058BB0D7-0CC0-4FF2-B577-592BDBD36B9B}"/>
    <cellStyle name="Millares 11 2 3 3" xfId="1193" xr:uid="{67DE3979-2F82-4CB9-9004-9FAB6ED8C957}"/>
    <cellStyle name="Millares 11 2 4" xfId="519" xr:uid="{B2E79F81-5DB9-4973-8E6B-92104F378FCB}"/>
    <cellStyle name="Millares 11 2 4 2" xfId="1416" xr:uid="{4A0253ED-B529-42D5-AFCD-287688E7E764}"/>
    <cellStyle name="Millares 11 2 5" xfId="970" xr:uid="{5B72E22A-F3DF-4D37-91A9-BD9EA4DBC5D4}"/>
    <cellStyle name="Millares 11 3" xfId="136" xr:uid="{C00B1B97-E8FF-4E40-8C75-A5CD755D9920}"/>
    <cellStyle name="Millares 11 3 2" xfId="362" xr:uid="{23991C6D-EE7E-4F2B-A33A-2A4A7C601295}"/>
    <cellStyle name="Millares 11 3 2 2" xfId="812" xr:uid="{9C95202F-E33A-4FD6-851C-4E4429B69B32}"/>
    <cellStyle name="Millares 11 3 2 2 2" xfId="1709" xr:uid="{5D6C498B-5039-43CA-BB55-D5F5ECD2EC51}"/>
    <cellStyle name="Millares 11 3 2 3" xfId="1263" xr:uid="{7D3048E7-E5C1-43EC-A780-F82C4AAEF834}"/>
    <cellStyle name="Millares 11 3 3" xfId="589" xr:uid="{AB2EAEF8-904A-4C5E-8DDF-860FDDAF47DE}"/>
    <cellStyle name="Millares 11 3 3 2" xfId="1486" xr:uid="{FE5B22B2-5651-4EF8-9A2B-00D3C93DAFD9}"/>
    <cellStyle name="Millares 11 3 4" xfId="1040" xr:uid="{04965C15-6519-4B73-A150-7044672BD611}"/>
    <cellStyle name="Millares 11 4" xfId="275" xr:uid="{3B6C8E5C-49AE-4869-BF3B-BF7A249A24E6}"/>
    <cellStyle name="Millares 11 4 2" xfId="725" xr:uid="{FB4F6268-27C5-42BD-8A84-867E3B1429D5}"/>
    <cellStyle name="Millares 11 4 2 2" xfId="1622" xr:uid="{243EBFBB-2D33-4E64-916D-EBE54DFDADD8}"/>
    <cellStyle name="Millares 11 4 3" xfId="1176" xr:uid="{D29B9405-E93B-45C9-AAE2-A43CC380D724}"/>
    <cellStyle name="Millares 11 5" xfId="501" xr:uid="{8A27A7A2-B048-44E4-B56D-D38ACD7F4254}"/>
    <cellStyle name="Millares 11 5 2" xfId="1399" xr:uid="{FFC0CBAA-D7B8-45DC-B761-479ED9FDC89A}"/>
    <cellStyle name="Millares 11 6" xfId="952" xr:uid="{E31F38BF-4EAF-4C6C-8FA5-5CE36B5D479C}"/>
    <cellStyle name="Millares 12" xfId="41" xr:uid="{BAEB21BB-AEC4-4D3C-AD60-57CAEB64DB96}"/>
    <cellStyle name="Millares 12 2" xfId="62" xr:uid="{92523BE6-C024-4D2E-9E25-F311D1958EA0}"/>
    <cellStyle name="Millares 12 2 2" xfId="156" xr:uid="{254027C8-FBFB-489F-80E8-E4DF75ACD336}"/>
    <cellStyle name="Millares 12 2 2 2" xfId="381" xr:uid="{D8B62C02-CBA5-4D1B-9E73-CC92088DD240}"/>
    <cellStyle name="Millares 12 2 2 2 2" xfId="831" xr:uid="{F9C50389-9836-427C-BFE8-A2C9801601B3}"/>
    <cellStyle name="Millares 12 2 2 2 2 2" xfId="1728" xr:uid="{D74AE0B1-B928-47C9-8A61-F8BABF787229}"/>
    <cellStyle name="Millares 12 2 2 2 3" xfId="1282" xr:uid="{B1FAFD0F-122B-49C0-82AF-49FDC537998D}"/>
    <cellStyle name="Millares 12 2 2 3" xfId="608" xr:uid="{7564838C-F36D-4813-A885-D5C5B84D79EB}"/>
    <cellStyle name="Millares 12 2 2 3 2" xfId="1505" xr:uid="{9F1A42F5-261D-4619-9762-750FC5EDB30E}"/>
    <cellStyle name="Millares 12 2 2 4" xfId="1059" xr:uid="{311DD027-2165-41EA-AD9A-B825144C9F5C}"/>
    <cellStyle name="Millares 12 2 3" xfId="294" xr:uid="{370E7137-9754-4EEE-BA7D-5BAE9441B80E}"/>
    <cellStyle name="Millares 12 2 3 2" xfId="744" xr:uid="{47AA34C1-8B05-4EF2-A2AF-CE5204A44371}"/>
    <cellStyle name="Millares 12 2 3 2 2" xfId="1641" xr:uid="{7EE86066-A267-451A-9364-539B48394481}"/>
    <cellStyle name="Millares 12 2 3 3" xfId="1195" xr:uid="{94188D8F-4E18-488E-BBCB-06AACDD72A15}"/>
    <cellStyle name="Millares 12 2 4" xfId="521" xr:uid="{7DFF0056-42BE-48F5-B467-A463AD24E8E9}"/>
    <cellStyle name="Millares 12 2 4 2" xfId="1418" xr:uid="{0DEC1B63-3819-450A-A6A3-7E4F5CCF4B47}"/>
    <cellStyle name="Millares 12 2 5" xfId="972" xr:uid="{EA798AB0-4AE1-4CF6-BAB1-45E3A66F7BCF}"/>
    <cellStyle name="Millares 12 3" xfId="138" xr:uid="{FEB8A313-BC8D-429C-8E85-1968841C771B}"/>
    <cellStyle name="Millares 12 3 2" xfId="364" xr:uid="{7ED9CF7C-A808-4AFD-BA47-E66DBA708E7D}"/>
    <cellStyle name="Millares 12 3 2 2" xfId="814" xr:uid="{DF847FD9-7AD1-46EA-801F-95CAC73079E5}"/>
    <cellStyle name="Millares 12 3 2 2 2" xfId="1711" xr:uid="{27B880B3-A784-457C-AC23-9AA34850D497}"/>
    <cellStyle name="Millares 12 3 2 3" xfId="1265" xr:uid="{70212898-0B34-4F26-AF72-709807DD2FB2}"/>
    <cellStyle name="Millares 12 3 3" xfId="591" xr:uid="{01A7C7BA-4C51-43EE-A6C5-9F7A6B30F0CC}"/>
    <cellStyle name="Millares 12 3 3 2" xfId="1488" xr:uid="{0CB34441-523E-43A3-A706-0AF1B0216354}"/>
    <cellStyle name="Millares 12 3 4" xfId="1042" xr:uid="{4C8233AE-B003-4466-AA36-1F3A31043CAB}"/>
    <cellStyle name="Millares 12 4" xfId="277" xr:uid="{FA4F1DB2-5F10-4C0D-8A76-0FD6768ADBF7}"/>
    <cellStyle name="Millares 12 4 2" xfId="727" xr:uid="{5A8A074E-34E4-44D8-A8B7-D908D3B82FBF}"/>
    <cellStyle name="Millares 12 4 2 2" xfId="1624" xr:uid="{D61314A3-54D8-4CEE-B8ED-146EF18FDE3D}"/>
    <cellStyle name="Millares 12 4 3" xfId="1178" xr:uid="{1D99CD5F-1958-43D3-BDDE-FE86A3CF2C86}"/>
    <cellStyle name="Millares 12 5" xfId="503" xr:uid="{0E0DD798-9EDC-4B34-9627-FEB5EDF32ADB}"/>
    <cellStyle name="Millares 12 5 2" xfId="1401" xr:uid="{3DE7E997-3CA8-46C1-9CF7-708457424B0E}"/>
    <cellStyle name="Millares 12 6" xfId="954" xr:uid="{4C96562D-B58A-4F5F-B7BB-4660F310FC34}"/>
    <cellStyle name="Millares 13" xfId="45" xr:uid="{A2BC0D4F-BE36-48E5-B8FE-275FEC761914}"/>
    <cellStyle name="Millares 13 2" xfId="142" xr:uid="{DE4EE5C0-2A72-44B9-B371-40654453E98B}"/>
    <cellStyle name="Millares 13 2 2" xfId="367" xr:uid="{F7708D41-32BF-41FC-B4E9-0B0F75CFAE98}"/>
    <cellStyle name="Millares 13 2 2 2" xfId="817" xr:uid="{CC422152-7358-4BD9-8E50-2C026B639889}"/>
    <cellStyle name="Millares 13 2 2 2 2" xfId="1714" xr:uid="{C747AA6A-AD4F-4C78-B095-0D78FCB8A59D}"/>
    <cellStyle name="Millares 13 2 2 3" xfId="1268" xr:uid="{506362B3-76FC-45EB-8A0B-42B6DB8A28C3}"/>
    <cellStyle name="Millares 13 2 3" xfId="594" xr:uid="{32F22206-2BC8-43D0-98BB-BE65326FB034}"/>
    <cellStyle name="Millares 13 2 3 2" xfId="1491" xr:uid="{3E45D173-6C81-4487-AD50-C2E21413BFC6}"/>
    <cellStyle name="Millares 13 2 4" xfId="1045" xr:uid="{6C9826D3-49FD-49F7-8E59-C3E4EF5F72DE}"/>
    <cellStyle name="Millares 13 3" xfId="280" xr:uid="{E9D1B31E-3784-424D-9319-A72E8F82FCB8}"/>
    <cellStyle name="Millares 13 3 2" xfId="730" xr:uid="{CECC3F02-043A-495C-9A38-5E50987BEBBB}"/>
    <cellStyle name="Millares 13 3 2 2" xfId="1627" xr:uid="{B2030AF1-5A15-45A0-8D05-254690445D59}"/>
    <cellStyle name="Millares 13 3 3" xfId="1181" xr:uid="{80AA82EA-C32C-428D-B207-80BF0E5C9542}"/>
    <cellStyle name="Millares 13 4" xfId="507" xr:uid="{CDD33A0B-4A49-4FE3-BC7E-5E8F477609EE}"/>
    <cellStyle name="Millares 13 4 2" xfId="1404" xr:uid="{DA8D77D0-BE01-47E0-8ED1-B2E4D4272239}"/>
    <cellStyle name="Millares 13 5" xfId="958" xr:uid="{6C24D541-79C3-491C-9E7C-809BEB220E89}"/>
    <cellStyle name="Millares 14" xfId="47" xr:uid="{C434BAC0-B2B3-4518-84FE-EB910D2AFD49}"/>
    <cellStyle name="Millares 15" xfId="66" xr:uid="{8315EAE2-E517-4E66-9A03-1D95CA0D9FCB}"/>
    <cellStyle name="Millares 15 2" xfId="159" xr:uid="{7600F0C0-DD1C-406E-AC33-EF3FBF182E8F}"/>
    <cellStyle name="Millares 15 2 2" xfId="384" xr:uid="{3C36BB76-5C41-4CDA-A823-20BF3717810A}"/>
    <cellStyle name="Millares 15 2 2 2" xfId="834" xr:uid="{6E208030-F433-48D5-AE9F-01B21E1F916E}"/>
    <cellStyle name="Millares 15 2 2 2 2" xfId="1731" xr:uid="{855744F0-BE06-4B83-A9D4-B159EE93C354}"/>
    <cellStyle name="Millares 15 2 2 3" xfId="1285" xr:uid="{39A8C1F3-94A0-414A-9519-4A0DC28A4D10}"/>
    <cellStyle name="Millares 15 2 3" xfId="611" xr:uid="{BCF5805F-56F6-44EB-8E5A-FE2A99D4AF42}"/>
    <cellStyle name="Millares 15 2 3 2" xfId="1508" xr:uid="{5AD6C4E9-EB66-4D11-AA79-FBC54B7DA17C}"/>
    <cellStyle name="Millares 15 2 4" xfId="1062" xr:uid="{155695BB-2BBA-4AFE-A8F0-E7F99508BD85}"/>
    <cellStyle name="Millares 15 3" xfId="297" xr:uid="{D4FBDAC7-4A6D-4404-A31D-4313B976A8AC}"/>
    <cellStyle name="Millares 15 3 2" xfId="747" xr:uid="{45BD0E9A-48E8-4762-AEAE-8DED48F85455}"/>
    <cellStyle name="Millares 15 3 2 2" xfId="1644" xr:uid="{2FC4B830-B9A0-422B-8DCD-D3BC0688F190}"/>
    <cellStyle name="Millares 15 3 3" xfId="1198" xr:uid="{62F65AD2-1039-4CC3-8A78-C691A25039D4}"/>
    <cellStyle name="Millares 15 4" xfId="524" xr:uid="{8FDCB6B6-7264-484D-9AE6-40EB14CAA1A0}"/>
    <cellStyle name="Millares 15 4 2" xfId="1421" xr:uid="{2A337C2E-63BF-44E9-A823-F418037DAA17}"/>
    <cellStyle name="Millares 15 5" xfId="975" xr:uid="{B266A76C-0440-4C63-9C7F-33010911DA01}"/>
    <cellStyle name="Millares 16" xfId="75" xr:uid="{C94D45F6-1FE7-4097-BA72-B395456528B7}"/>
    <cellStyle name="Millares 16 2" xfId="167" xr:uid="{FD9C7C68-D7AF-4335-983D-365E9BB7F550}"/>
    <cellStyle name="Millares 16 2 2" xfId="392" xr:uid="{6EB27896-941D-4D87-B393-AB132B88D6A0}"/>
    <cellStyle name="Millares 16 2 2 2" xfId="842" xr:uid="{20B51296-E469-4298-AD79-CF2105B6579C}"/>
    <cellStyle name="Millares 16 2 2 2 2" xfId="1739" xr:uid="{23EBF8A2-EC2D-4E7B-93FB-3B630CAC62F7}"/>
    <cellStyle name="Millares 16 2 2 3" xfId="1293" xr:uid="{58F1DF00-38DE-4879-9BE3-167580B16B98}"/>
    <cellStyle name="Millares 16 2 3" xfId="619" xr:uid="{628402B6-7ECD-4931-A530-F57A834EDBC9}"/>
    <cellStyle name="Millares 16 2 3 2" xfId="1516" xr:uid="{87561702-7EB1-434C-9675-85A7C3FC2A1D}"/>
    <cellStyle name="Millares 16 2 4" xfId="1070" xr:uid="{7EB20047-2782-42E1-96BD-AD5648B7FBE7}"/>
    <cellStyle name="Millares 16 3" xfId="305" xr:uid="{30C41FB9-9DB8-4FA8-815E-0CF1D69E3E5F}"/>
    <cellStyle name="Millares 16 3 2" xfId="755" xr:uid="{456DB147-9AFD-4DF1-B008-CE7DF5E5F739}"/>
    <cellStyle name="Millares 16 3 2 2" xfId="1652" xr:uid="{C10B46A6-131F-46AC-8326-0ECE4B9B5CE5}"/>
    <cellStyle name="Millares 16 3 3" xfId="1206" xr:uid="{C9624228-D3D6-46F9-A0A4-E4695137F6BB}"/>
    <cellStyle name="Millares 16 4" xfId="532" xr:uid="{7443E756-E5C8-4E05-B2E4-A677B5A10C4E}"/>
    <cellStyle name="Millares 16 4 2" xfId="1429" xr:uid="{904659E3-19C4-4030-9426-081A1AB69301}"/>
    <cellStyle name="Millares 16 5" xfId="983" xr:uid="{D8D6BB30-168B-4FBB-8341-6FABC2588C7F}"/>
    <cellStyle name="Millares 17" xfId="80" xr:uid="{C2D5CE2F-F934-41B6-9AB1-94777B34A68A}"/>
    <cellStyle name="Millares 17 2" xfId="172" xr:uid="{74A69B47-F0EC-4AC5-95A7-B0D4BF4033CA}"/>
    <cellStyle name="Millares 17 2 2" xfId="397" xr:uid="{1ACB20D6-815B-4D79-85D3-FC4E8B3574F3}"/>
    <cellStyle name="Millares 17 2 2 2" xfId="847" xr:uid="{72BBF316-54B0-4BBC-BC6B-625CDB7E2190}"/>
    <cellStyle name="Millares 17 2 2 2 2" xfId="1744" xr:uid="{3B0C32E0-FBCA-4141-A000-257460FF2701}"/>
    <cellStyle name="Millares 17 2 2 3" xfId="1298" xr:uid="{9549736E-86CE-4D37-A308-B594361BBDE5}"/>
    <cellStyle name="Millares 17 2 3" xfId="624" xr:uid="{86DF5B72-8685-450E-9AC4-B81480FD6104}"/>
    <cellStyle name="Millares 17 2 3 2" xfId="1521" xr:uid="{8F847DB5-9191-4C78-BF50-9DF77F1C6AA5}"/>
    <cellStyle name="Millares 17 2 4" xfId="1075" xr:uid="{36FBD702-8B70-445B-A68C-A5871C83EA57}"/>
    <cellStyle name="Millares 17 3" xfId="310" xr:uid="{C5B3D324-21E0-4FB6-B97C-E5B5036189C4}"/>
    <cellStyle name="Millares 17 3 2" xfId="760" xr:uid="{361253E4-D5DA-4EDF-AA7E-0AC63EDBEC7B}"/>
    <cellStyle name="Millares 17 3 2 2" xfId="1657" xr:uid="{F8B0946B-C676-4F8C-9A04-5262E8324B48}"/>
    <cellStyle name="Millares 17 3 3" xfId="1211" xr:uid="{75114FC9-E6A0-47DF-8CC3-D841BDA31B00}"/>
    <cellStyle name="Millares 17 4" xfId="537" xr:uid="{F7AB7E37-876A-4F03-B7AC-567B231C11E0}"/>
    <cellStyle name="Millares 17 4 2" xfId="1434" xr:uid="{A7AB8F18-54CA-4881-8E4A-7F57250B4E2A}"/>
    <cellStyle name="Millares 17 5" xfId="988" xr:uid="{9E8B42C4-D8D7-4657-AC70-EFEC4017349A}"/>
    <cellStyle name="Millares 18" xfId="82" xr:uid="{90519D43-C2B2-44B4-92EA-156AF5041D5F}"/>
    <cellStyle name="Millares 18 2" xfId="174" xr:uid="{1F849040-051E-4A1E-883B-6A7557FB8582}"/>
    <cellStyle name="Millares 18 2 2" xfId="399" xr:uid="{D433EC9D-B771-459C-8043-715135E728CE}"/>
    <cellStyle name="Millares 18 2 2 2" xfId="849" xr:uid="{940EBA95-D352-47F8-8F36-AD88663EEEB2}"/>
    <cellStyle name="Millares 18 2 2 2 2" xfId="1746" xr:uid="{EB23BB7A-CC49-4B5A-834C-1FFDC8EECF40}"/>
    <cellStyle name="Millares 18 2 2 3" xfId="1300" xr:uid="{63500325-579C-47EF-ADC6-A82194EF6E98}"/>
    <cellStyle name="Millares 18 2 3" xfId="626" xr:uid="{CCBDAA5D-E2DF-4100-802F-B244FA019CCF}"/>
    <cellStyle name="Millares 18 2 3 2" xfId="1523" xr:uid="{891DA28D-D44A-4691-935D-543492918054}"/>
    <cellStyle name="Millares 18 2 4" xfId="1077" xr:uid="{840C801C-2067-4A8E-A6CD-DAF4C4D8A1A3}"/>
    <cellStyle name="Millares 18 3" xfId="312" xr:uid="{9ECFF1FD-D050-4A41-AB54-546E133B1776}"/>
    <cellStyle name="Millares 18 3 2" xfId="762" xr:uid="{DE3414E4-5843-4A97-A3B6-DD623E508352}"/>
    <cellStyle name="Millares 18 3 2 2" xfId="1659" xr:uid="{98952679-DBF5-4ADB-B1BF-09650B369F9C}"/>
    <cellStyle name="Millares 18 3 3" xfId="1213" xr:uid="{0A56D4C3-F39E-488C-9313-D33812278BF0}"/>
    <cellStyle name="Millares 18 4" xfId="539" xr:uid="{B9DF5A60-B63E-45C0-9D43-64058AF26D88}"/>
    <cellStyle name="Millares 18 4 2" xfId="1436" xr:uid="{EEFA032C-051A-4977-AC6F-52E6F9747901}"/>
    <cellStyle name="Millares 18 5" xfId="990" xr:uid="{EB8D9EB8-8CA8-4009-BC54-9E1954475B67}"/>
    <cellStyle name="Millares 19" xfId="84" xr:uid="{D23D0A56-612B-41F8-8311-1BC3AEC86473}"/>
    <cellStyle name="Millares 19 2" xfId="176" xr:uid="{A8E88110-9B31-4CFA-8BCB-6B8174A8F1B3}"/>
    <cellStyle name="Millares 19 2 2" xfId="401" xr:uid="{184A88FA-C58A-48EF-98F1-13E45D02A37B}"/>
    <cellStyle name="Millares 19 2 2 2" xfId="851" xr:uid="{E963041C-DA96-4C06-AC18-1D56FC6D9B84}"/>
    <cellStyle name="Millares 19 2 2 2 2" xfId="1748" xr:uid="{F1D5B183-164A-43C1-B788-A8A125833043}"/>
    <cellStyle name="Millares 19 2 2 3" xfId="1302" xr:uid="{920D7E5A-BA7C-4118-8008-2A79BCC6E132}"/>
    <cellStyle name="Millares 19 2 3" xfId="628" xr:uid="{30941EC7-9A80-4ECB-9BD1-62EADD983113}"/>
    <cellStyle name="Millares 19 2 3 2" xfId="1525" xr:uid="{77E7DFCB-FF58-4334-A420-117CDBD0D495}"/>
    <cellStyle name="Millares 19 2 4" xfId="1079" xr:uid="{3732EDC1-FCDB-40A9-9458-7F59B1E33E60}"/>
    <cellStyle name="Millares 19 3" xfId="314" xr:uid="{626215F0-A2EE-47E1-9F42-8A5C1D3542E3}"/>
    <cellStyle name="Millares 19 3 2" xfId="764" xr:uid="{E5B2A054-F3D8-443F-BF3B-D55C25804532}"/>
    <cellStyle name="Millares 19 3 2 2" xfId="1661" xr:uid="{EE6F2DC5-5F90-48F5-9C16-0BA681C5BB14}"/>
    <cellStyle name="Millares 19 3 3" xfId="1215" xr:uid="{51F570EE-FE54-4036-BBF9-70F961E107BF}"/>
    <cellStyle name="Millares 19 4" xfId="541" xr:uid="{9447C9BA-6425-497E-B57D-6A06133E4BEB}"/>
    <cellStyle name="Millares 19 4 2" xfId="1438" xr:uid="{534E04A4-1B5F-4D44-8D70-8D48102AB969}"/>
    <cellStyle name="Millares 19 5" xfId="992" xr:uid="{421D9AB9-691E-48BB-83EA-352A54AB58CA}"/>
    <cellStyle name="Millares 2" xfId="5" xr:uid="{00000000-0005-0000-0000-000004000000}"/>
    <cellStyle name="Millares 2 2" xfId="6" xr:uid="{00000000-0005-0000-0000-000005000000}"/>
    <cellStyle name="Millares 2 2 2" xfId="48" xr:uid="{3D3F3942-3724-4E47-8FEF-58B8F7600C38}"/>
    <cellStyle name="Millares 2 2 2 2" xfId="143" xr:uid="{DB7ECFE2-5E16-4069-83BD-3093602DDD8F}"/>
    <cellStyle name="Millares 2 2 2 2 2" xfId="368" xr:uid="{255E2757-2302-4676-A6AE-46240DA4944E}"/>
    <cellStyle name="Millares 2 2 2 2 2 2" xfId="818" xr:uid="{9DE7664F-E868-4624-877E-990F930C6051}"/>
    <cellStyle name="Millares 2 2 2 2 2 2 2" xfId="1715" xr:uid="{30012481-70A4-4E82-924D-94DD7B7D8FF1}"/>
    <cellStyle name="Millares 2 2 2 2 2 3" xfId="1269" xr:uid="{BE9D4C3B-7C22-499B-BDA7-9CEB4A08990F}"/>
    <cellStyle name="Millares 2 2 2 2 3" xfId="595" xr:uid="{031BAEF8-4A65-47DA-B004-C13646DCF064}"/>
    <cellStyle name="Millares 2 2 2 2 3 2" xfId="1492" xr:uid="{AF95FA12-FCB5-4F8E-83B6-6604FA31B77C}"/>
    <cellStyle name="Millares 2 2 2 2 4" xfId="1046" xr:uid="{24345C06-6713-40A8-B584-DF2C4F5CB2A8}"/>
    <cellStyle name="Millares 2 2 2 3" xfId="281" xr:uid="{B1914D4B-382E-44B4-BBBB-E80FA056E6F8}"/>
    <cellStyle name="Millares 2 2 2 3 2" xfId="731" xr:uid="{61FDBE25-7ADA-43AC-922A-AA6361201228}"/>
    <cellStyle name="Millares 2 2 2 3 2 2" xfId="1628" xr:uid="{E7A6BE2D-E196-4573-B00B-E62B3840C780}"/>
    <cellStyle name="Millares 2 2 2 3 3" xfId="1182" xr:uid="{CEF90DDB-537C-484A-B706-99F79BAD1D67}"/>
    <cellStyle name="Millares 2 2 2 4" xfId="508" xr:uid="{13E654EA-D59B-44D7-AC95-D851A4E52126}"/>
    <cellStyle name="Millares 2 2 2 4 2" xfId="1405" xr:uid="{B67E224E-F306-43FB-AC7D-5E49F1316873}"/>
    <cellStyle name="Millares 2 2 2 5" xfId="959" xr:uid="{97577905-552A-4FB4-9623-A6476C326EA3}"/>
    <cellStyle name="Millares 2 2 3" xfId="124" xr:uid="{BE7D9A65-E99C-40EE-BB5C-63D05D03A244}"/>
    <cellStyle name="Millares 2 2 3 2" xfId="351" xr:uid="{4DC7AFC5-6D11-4684-8829-00E45D50A757}"/>
    <cellStyle name="Millares 2 2 3 2 2" xfId="801" xr:uid="{BC47A43F-C1A7-4876-BE39-A6A138C9A43F}"/>
    <cellStyle name="Millares 2 2 3 2 2 2" xfId="1698" xr:uid="{595E4C7E-1D5D-442F-B8CB-96EC5D349420}"/>
    <cellStyle name="Millares 2 2 3 2 3" xfId="1252" xr:uid="{89668F3A-D4C4-4AA1-A5CC-E8BB06671BF9}"/>
    <cellStyle name="Millares 2 2 3 3" xfId="578" xr:uid="{D2098A61-E81C-4D07-829D-859CE33964B2}"/>
    <cellStyle name="Millares 2 2 3 3 2" xfId="1475" xr:uid="{9E1E787F-C018-485A-BFF3-83D4A0DB2D91}"/>
    <cellStyle name="Millares 2 2 3 4" xfId="1029" xr:uid="{A3CC745A-F352-4422-9F7C-4B5D3883BD94}"/>
    <cellStyle name="Millares 2 2 4" xfId="214" xr:uid="{4C9B0DA0-03AE-4080-BFDD-32E07B0B11FF}"/>
    <cellStyle name="Millares 2 2 4 2" xfId="439" xr:uid="{F5F2AA3A-DA97-4DA4-8905-F267E48E0F80}"/>
    <cellStyle name="Millares 2 2 4 2 2" xfId="889" xr:uid="{7DA7463B-4616-4F01-B5C8-0584A63B3E40}"/>
    <cellStyle name="Millares 2 2 4 2 2 2" xfId="1786" xr:uid="{5B20FCC1-BCBF-44B3-AF9C-C89132291FDC}"/>
    <cellStyle name="Millares 2 2 4 2 3" xfId="1340" xr:uid="{8F902627-C3A6-4E34-996A-E782A8075AFE}"/>
    <cellStyle name="Millares 2 2 4 3" xfId="666" xr:uid="{287545C5-A388-4396-8C1B-E01EFD3D9BFF}"/>
    <cellStyle name="Millares 2 2 4 3 2" xfId="1563" xr:uid="{9A1795A5-8A25-49A7-97A5-1F2E6E55A81F}"/>
    <cellStyle name="Millares 2 2 4 4" xfId="1117" xr:uid="{FAE1AD0D-A18E-4F59-AA61-93C2D7C24F38}"/>
    <cellStyle name="Millares 2 2 5" xfId="225" xr:uid="{DA651846-2BCD-48F6-8065-C8C9157A1E2D}"/>
    <cellStyle name="Millares 2 2 5 2" xfId="448" xr:uid="{5902DDCB-2FE0-4578-A4E1-9B782AF49F6D}"/>
    <cellStyle name="Millares 2 2 5 2 2" xfId="898" xr:uid="{BF5F39ED-EA5F-48B9-9428-DC7D31D322CF}"/>
    <cellStyle name="Millares 2 2 5 2 2 2" xfId="1795" xr:uid="{95D4B4C9-5E8D-4391-B476-165AEEB1CD9B}"/>
    <cellStyle name="Millares 2 2 5 2 3" xfId="1349" xr:uid="{8764DAFF-CBF1-454F-B114-5E158E68504D}"/>
    <cellStyle name="Millares 2 2 5 3" xfId="675" xr:uid="{9A9691D2-ADCB-469C-AFAE-8363CC119319}"/>
    <cellStyle name="Millares 2 2 5 3 2" xfId="1572" xr:uid="{8F4B7C84-1AB5-42CE-835A-A2C4FD5B9C01}"/>
    <cellStyle name="Millares 2 2 5 4" xfId="1126" xr:uid="{4D332E23-44BF-418F-A02B-9ED467BF1224}"/>
    <cellStyle name="Millares 2 2 6" xfId="249" xr:uid="{40EFEC91-817A-4519-B86C-F00DF7958141}"/>
    <cellStyle name="Millares 2 2 6 2" xfId="472" xr:uid="{3E1BB2EA-FCA3-4852-9253-21C9E158AF12}"/>
    <cellStyle name="Millares 2 2 6 2 2" xfId="922" xr:uid="{1EB4E0D5-3854-4A0C-9C92-3357196CD3D9}"/>
    <cellStyle name="Millares 2 2 6 2 2 2" xfId="1819" xr:uid="{945E6702-F0AD-4871-9764-02E06DC5CA55}"/>
    <cellStyle name="Millares 2 2 6 2 3" xfId="1373" xr:uid="{5535898F-698C-4679-9A4F-C024A08C7FE2}"/>
    <cellStyle name="Millares 2 2 6 3" xfId="699" xr:uid="{4D4C7C0F-75CD-47C8-B061-162BD32FF948}"/>
    <cellStyle name="Millares 2 2 6 3 2" xfId="1596" xr:uid="{C5441310-B3E3-4546-8532-C8F5CFB1B067}"/>
    <cellStyle name="Millares 2 2 6 4" xfId="1150" xr:uid="{653D0C3B-1EB5-43E3-A63A-8337070CC4CD}"/>
    <cellStyle name="Millares 2 2 7" xfId="264" xr:uid="{6D3184A5-A71C-4AB4-8684-51E5642CB6D6}"/>
    <cellStyle name="Millares 2 2 7 2" xfId="714" xr:uid="{70314D3F-0A78-4F1F-85A9-C0F20151AC43}"/>
    <cellStyle name="Millares 2 2 7 2 2" xfId="1611" xr:uid="{B4DAB4C2-2E51-4C36-BFB0-3540154EF125}"/>
    <cellStyle name="Millares 2 2 7 3" xfId="1165" xr:uid="{C013B803-4674-4D82-B77B-C1CC9C1CE44C}"/>
    <cellStyle name="Millares 2 2 8" xfId="489" xr:uid="{D5741599-6819-49E3-B3B7-F2DB392B591F}"/>
    <cellStyle name="Millares 2 2 8 2" xfId="1388" xr:uid="{1A9EE802-75D2-4EFB-A475-E460F4939465}"/>
    <cellStyle name="Millares 2 2 9" xfId="940" xr:uid="{39C2521F-F755-4C14-9438-27DA6B6E1EBE}"/>
    <cellStyle name="Millares 2 3" xfId="104" xr:uid="{3DCF24F5-E14E-4678-9585-ED34AE5479E2}"/>
    <cellStyle name="Millares 2 3 2" xfId="196" xr:uid="{D4751401-7EAC-4923-BE06-3C70B5704295}"/>
    <cellStyle name="Millares 2 3 2 2" xfId="421" xr:uid="{06B755BC-A44D-43E0-A3BB-D85C4F538D0F}"/>
    <cellStyle name="Millares 2 3 2 2 2" xfId="871" xr:uid="{D608B924-23C2-4907-8D2F-4AFCD718CF85}"/>
    <cellStyle name="Millares 2 3 2 2 2 2" xfId="1768" xr:uid="{50392402-E3D4-4FFC-8706-C89A9345B291}"/>
    <cellStyle name="Millares 2 3 2 2 3" xfId="1322" xr:uid="{5C70FC50-E49F-4601-B428-334B0A90233F}"/>
    <cellStyle name="Millares 2 3 2 3" xfId="648" xr:uid="{F49B2816-91DC-487D-8C77-0D3EB7CC9C39}"/>
    <cellStyle name="Millares 2 3 2 3 2" xfId="1545" xr:uid="{1B59893B-1DC4-4BDF-8638-45DDD865ECB6}"/>
    <cellStyle name="Millares 2 3 2 4" xfId="1099" xr:uid="{429104FB-E598-45AF-83B7-9525B718EA13}"/>
    <cellStyle name="Millares 2 3 3" xfId="334" xr:uid="{69683FC0-42CB-4A76-A5D6-B6CD70575289}"/>
    <cellStyle name="Millares 2 3 3 2" xfId="784" xr:uid="{9773BC35-4BB2-4C2B-ACD0-9207D25793CC}"/>
    <cellStyle name="Millares 2 3 3 2 2" xfId="1681" xr:uid="{8948F454-9A0A-41DE-9DB6-1A2BEEBB3746}"/>
    <cellStyle name="Millares 2 3 3 3" xfId="1235" xr:uid="{35D0931F-F5D6-41F8-BD65-6657D9E8BA64}"/>
    <cellStyle name="Millares 2 3 4" xfId="561" xr:uid="{D39C03E9-69F0-40AD-83C4-07755B62CAE8}"/>
    <cellStyle name="Millares 2 3 4 2" xfId="1458" xr:uid="{224BEAC7-FC50-469D-8D7D-F24E03CC651C}"/>
    <cellStyle name="Millares 2 3 5" xfId="1012" xr:uid="{34A3F9F4-5D6E-4F7A-9C24-DB63E27FDB11}"/>
    <cellStyle name="Millares 20" xfId="89" xr:uid="{32AC816D-2D22-4B3F-B120-5A2F123CE6A3}"/>
    <cellStyle name="Millares 20 2" xfId="181" xr:uid="{ECC50AE6-152F-4941-AFBE-9956338CC09D}"/>
    <cellStyle name="Millares 20 2 2" xfId="406" xr:uid="{C7E63D61-D4F3-4270-87AB-4F9B9AB257A8}"/>
    <cellStyle name="Millares 20 2 2 2" xfId="856" xr:uid="{BF6E107C-3CF9-46E3-AA03-66A4413B6B43}"/>
    <cellStyle name="Millares 20 2 2 2 2" xfId="1753" xr:uid="{39FE8EF8-D9B4-4DDE-B54D-BEE99916F1D9}"/>
    <cellStyle name="Millares 20 2 2 3" xfId="1307" xr:uid="{F28335DD-C7D7-457A-A18F-5496F8E3D2D1}"/>
    <cellStyle name="Millares 20 2 3" xfId="633" xr:uid="{122729FC-93CF-436D-9D04-4C26F2DC9446}"/>
    <cellStyle name="Millares 20 2 3 2" xfId="1530" xr:uid="{4D14D368-A0F0-4A6E-8FC1-92444C18A105}"/>
    <cellStyle name="Millares 20 2 4" xfId="1084" xr:uid="{1D87A5C8-5B0B-4767-B792-6FA7F896E025}"/>
    <cellStyle name="Millares 20 3" xfId="319" xr:uid="{B971F68F-2AC6-4A8E-B854-B8F9A7D54241}"/>
    <cellStyle name="Millares 20 3 2" xfId="769" xr:uid="{1030962D-F091-4F22-928D-0DB2ED2BA7AC}"/>
    <cellStyle name="Millares 20 3 2 2" xfId="1666" xr:uid="{962302BA-04A0-4666-BE31-4E194B3F25D9}"/>
    <cellStyle name="Millares 20 3 3" xfId="1220" xr:uid="{32F0AB10-A9F3-4DBB-B6AA-F96C99BD5F4B}"/>
    <cellStyle name="Millares 20 4" xfId="546" xr:uid="{52A55283-B747-49C3-872C-E629FFD0EBF8}"/>
    <cellStyle name="Millares 20 4 2" xfId="1443" xr:uid="{1B85FCCC-F6B9-49ED-B700-455742099B48}"/>
    <cellStyle name="Millares 20 5" xfId="997" xr:uid="{1DDCFBFC-69C5-4C5B-8323-BA3D68DCF251}"/>
    <cellStyle name="Millares 21" xfId="92" xr:uid="{029046C6-9E24-4CD4-9025-FE3E564C082F}"/>
    <cellStyle name="Millares 21 2" xfId="184" xr:uid="{3BAE1369-3BEB-478E-ADB7-BB3FCFCA69E6}"/>
    <cellStyle name="Millares 21 2 2" xfId="409" xr:uid="{1AE2C91A-629B-434E-A593-69A04FD944C9}"/>
    <cellStyle name="Millares 21 2 2 2" xfId="859" xr:uid="{C8B59577-BF35-4DE5-830E-9A3DE27FEC0F}"/>
    <cellStyle name="Millares 21 2 2 2 2" xfId="1756" xr:uid="{50BFD6ED-4787-43EF-9251-B94FDB3495A3}"/>
    <cellStyle name="Millares 21 2 2 3" xfId="1310" xr:uid="{3F190B25-B671-4F0B-B41A-E1785187EC9D}"/>
    <cellStyle name="Millares 21 2 3" xfId="636" xr:uid="{71FA5DBB-7F74-4A0E-A548-DAF2B9A5EE34}"/>
    <cellStyle name="Millares 21 2 3 2" xfId="1533" xr:uid="{8AC8B2D6-914E-4D5F-B9FD-C8B891B8061F}"/>
    <cellStyle name="Millares 21 2 4" xfId="1087" xr:uid="{6D9B2622-3298-4935-BDA0-DACD65485330}"/>
    <cellStyle name="Millares 21 3" xfId="322" xr:uid="{C3EAF68B-7172-42C2-A275-8D9F581E57CE}"/>
    <cellStyle name="Millares 21 3 2" xfId="772" xr:uid="{36E1D370-6AA6-4BEB-8819-40946883F52C}"/>
    <cellStyle name="Millares 21 3 2 2" xfId="1669" xr:uid="{14505E60-CC71-47BF-99C3-3D783D5F9188}"/>
    <cellStyle name="Millares 21 3 3" xfId="1223" xr:uid="{01BB5FD1-D711-40B9-A8C8-05D82F581985}"/>
    <cellStyle name="Millares 21 4" xfId="549" xr:uid="{B77F85A9-D048-44D8-8E10-C6CFA8280F00}"/>
    <cellStyle name="Millares 21 4 2" xfId="1446" xr:uid="{36578906-E176-4E5D-8C76-7A39FA90252A}"/>
    <cellStyle name="Millares 21 5" xfId="1000" xr:uid="{6B007FF5-294F-4548-AB39-57DFA7F29EA3}"/>
    <cellStyle name="Millares 22" xfId="94" xr:uid="{B19C83B2-C254-4128-B5FF-6DEA0DCB56A1}"/>
    <cellStyle name="Millares 22 2" xfId="186" xr:uid="{ECC5D1F0-B13E-48B6-BBE2-7ECFF8F8682F}"/>
    <cellStyle name="Millares 22 2 2" xfId="411" xr:uid="{30478536-8867-498D-972F-4A2707A0B08D}"/>
    <cellStyle name="Millares 22 2 2 2" xfId="861" xr:uid="{35F368FF-3461-439C-8FFA-F07B79CBB046}"/>
    <cellStyle name="Millares 22 2 2 2 2" xfId="1758" xr:uid="{90B4CB96-1E8C-4877-912D-D3BCBCE1ADB1}"/>
    <cellStyle name="Millares 22 2 2 3" xfId="1312" xr:uid="{B45DAD14-BE5D-4C72-8D5C-428C2004C0FA}"/>
    <cellStyle name="Millares 22 2 3" xfId="638" xr:uid="{98FB68A3-6AE9-43D3-B680-83547B1A5D57}"/>
    <cellStyle name="Millares 22 2 3 2" xfId="1535" xr:uid="{0E429F9C-993A-45CC-996C-054B6BAD6F39}"/>
    <cellStyle name="Millares 22 2 4" xfId="1089" xr:uid="{606CF11F-003D-49B9-BD11-B56A210D606B}"/>
    <cellStyle name="Millares 22 3" xfId="324" xr:uid="{53BC4A32-492C-4C6B-A9C5-3D29EA63D50B}"/>
    <cellStyle name="Millares 22 3 2" xfId="774" xr:uid="{4F81E1D1-CF30-430C-92DF-EDFB037DB83C}"/>
    <cellStyle name="Millares 22 3 2 2" xfId="1671" xr:uid="{0F6B118C-74E4-4045-A203-3B3E8B410024}"/>
    <cellStyle name="Millares 22 3 3" xfId="1225" xr:uid="{E54D6846-5259-4FB3-B3F3-1989E0EC41A1}"/>
    <cellStyle name="Millares 22 4" xfId="551" xr:uid="{99840B85-AE56-43DA-96D6-AD5DDF131A80}"/>
    <cellStyle name="Millares 22 4 2" xfId="1448" xr:uid="{A5C8D0F0-B72B-461D-929D-C85C10F8241E}"/>
    <cellStyle name="Millares 22 5" xfId="1002" xr:uid="{DB276FAD-6E21-4B2B-B8E9-FA7EF1D786EA}"/>
    <cellStyle name="Millares 23" xfId="97" xr:uid="{CC0BE51A-DE50-4486-B47A-9582AFCAD003}"/>
    <cellStyle name="Millares 23 2" xfId="189" xr:uid="{6255356B-4769-403F-B758-DB9BBF353AD3}"/>
    <cellStyle name="Millares 23 2 2" xfId="414" xr:uid="{84E6761F-1B28-41B0-8E21-27E5D292F0B6}"/>
    <cellStyle name="Millares 23 2 2 2" xfId="864" xr:uid="{E9486A2B-8A57-4EE6-B48E-3F1305A36916}"/>
    <cellStyle name="Millares 23 2 2 2 2" xfId="1761" xr:uid="{4FE5BD1C-6AAE-41FB-BDA7-9A35568548A1}"/>
    <cellStyle name="Millares 23 2 2 3" xfId="1315" xr:uid="{6C28F40A-4E3F-4EBE-9A5F-7A095160976E}"/>
    <cellStyle name="Millares 23 2 3" xfId="641" xr:uid="{B0FD91F4-B4E0-4BAE-B83E-896D77F7A69F}"/>
    <cellStyle name="Millares 23 2 3 2" xfId="1538" xr:uid="{8A060A3F-5226-4672-8C0D-E9C579969730}"/>
    <cellStyle name="Millares 23 2 4" xfId="1092" xr:uid="{E77492D6-97F2-4E7F-B6CE-CD784901A387}"/>
    <cellStyle name="Millares 23 3" xfId="327" xr:uid="{AF4BD084-AD41-471C-87EA-7FF028C3AA18}"/>
    <cellStyle name="Millares 23 3 2" xfId="777" xr:uid="{C1841AA2-B357-4A0D-880C-6C63E6288FC5}"/>
    <cellStyle name="Millares 23 3 2 2" xfId="1674" xr:uid="{A6874304-9DD9-41F9-BB0A-32AE3997FB89}"/>
    <cellStyle name="Millares 23 3 3" xfId="1228" xr:uid="{8FDFA34F-993E-4AEF-AF07-782844258193}"/>
    <cellStyle name="Millares 23 4" xfId="554" xr:uid="{ED20581D-CE80-4665-BA93-B393ABFAB2A7}"/>
    <cellStyle name="Millares 23 4 2" xfId="1451" xr:uid="{D276732B-40D4-4797-B961-99F1E549975A}"/>
    <cellStyle name="Millares 23 5" xfId="1005" xr:uid="{33617A50-4842-4025-A237-E313379F4ACE}"/>
    <cellStyle name="Millares 24" xfId="99" xr:uid="{D69E24A2-9B29-47B7-BFB5-34D2E9D7B2B0}"/>
    <cellStyle name="Millares 24 2" xfId="191" xr:uid="{4C3F2FD9-5114-4A71-AD9F-51061D3A908B}"/>
    <cellStyle name="Millares 24 2 2" xfId="416" xr:uid="{BAEAC837-F694-480B-82FA-A2A1F5B2F9FA}"/>
    <cellStyle name="Millares 24 2 2 2" xfId="866" xr:uid="{F866776E-0A61-430E-B966-F42A67BF256C}"/>
    <cellStyle name="Millares 24 2 2 2 2" xfId="1763" xr:uid="{5FA09C86-EE06-4715-A3B3-CA3A84A8E271}"/>
    <cellStyle name="Millares 24 2 2 3" xfId="1317" xr:uid="{82D39528-9694-4FFD-96C1-3CD855836997}"/>
    <cellStyle name="Millares 24 2 3" xfId="643" xr:uid="{B139D1E5-2DF1-4A2D-B7B2-46FE0C4C0116}"/>
    <cellStyle name="Millares 24 2 3 2" xfId="1540" xr:uid="{FC5DDBE8-B930-479C-B949-8FC00D5CFC21}"/>
    <cellStyle name="Millares 24 2 4" xfId="1094" xr:uid="{38FCA747-E844-46C7-AEC9-FCF738BFF8D0}"/>
    <cellStyle name="Millares 24 3" xfId="329" xr:uid="{B3803DE3-0AA2-4EC2-8EBD-21A4D15D2F9E}"/>
    <cellStyle name="Millares 24 3 2" xfId="779" xr:uid="{7292F00E-7C62-4530-A58B-B98CC23087D0}"/>
    <cellStyle name="Millares 24 3 2 2" xfId="1676" xr:uid="{61C8E101-F31F-45D4-8D1C-36C37D7B1BE7}"/>
    <cellStyle name="Millares 24 3 3" xfId="1230" xr:uid="{D3C0DD07-71B9-4550-8842-EC79682FEB68}"/>
    <cellStyle name="Millares 24 4" xfId="556" xr:uid="{F80D494F-30DA-4004-B29D-FA701880B8C2}"/>
    <cellStyle name="Millares 24 4 2" xfId="1453" xr:uid="{B72C5EBE-599E-4A2C-A473-6827B69F8C05}"/>
    <cellStyle name="Millares 24 5" xfId="1007" xr:uid="{63E56BDF-2496-4836-8197-5D9BD98FB866}"/>
    <cellStyle name="Millares 25" xfId="101" xr:uid="{5F6854C2-801E-4A89-865C-FCACEDA07700}"/>
    <cellStyle name="Millares 25 2" xfId="193" xr:uid="{B431B26D-EE3D-4D8A-B2E1-2EA0FFE1F755}"/>
    <cellStyle name="Millares 25 2 2" xfId="418" xr:uid="{686874F8-57D7-4621-80AC-683F74929814}"/>
    <cellStyle name="Millares 25 2 2 2" xfId="868" xr:uid="{9ADCBEBF-A484-4477-9BD2-95FC04488898}"/>
    <cellStyle name="Millares 25 2 2 2 2" xfId="1765" xr:uid="{D68174B8-7D47-4DA3-A2FE-BE0CFE1DF1B9}"/>
    <cellStyle name="Millares 25 2 2 3" xfId="1319" xr:uid="{6F2D6C60-54AA-4039-B017-1480092A9757}"/>
    <cellStyle name="Millares 25 2 3" xfId="645" xr:uid="{4962BA3D-5B46-4468-88B3-2A860F394321}"/>
    <cellStyle name="Millares 25 2 3 2" xfId="1542" xr:uid="{2FFB31AC-D206-4AD4-887F-2837E5C2363B}"/>
    <cellStyle name="Millares 25 2 4" xfId="1096" xr:uid="{865A1A70-F4B5-4787-AD57-3667652FB69F}"/>
    <cellStyle name="Millares 25 3" xfId="331" xr:uid="{B2A3D5EB-63DB-4DD9-B60C-5E4AA96E4D19}"/>
    <cellStyle name="Millares 25 3 2" xfId="781" xr:uid="{E942F1AB-107B-4156-8EB1-686E17038DC5}"/>
    <cellStyle name="Millares 25 3 2 2" xfId="1678" xr:uid="{8B4BE410-6998-4FA7-9E3E-C33C33795E36}"/>
    <cellStyle name="Millares 25 3 3" xfId="1232" xr:uid="{1335063D-6BA6-4F36-8424-C9EC15AB554A}"/>
    <cellStyle name="Millares 25 4" xfId="558" xr:uid="{7583973B-5841-4606-9C3C-0C94FCDC5214}"/>
    <cellStyle name="Millares 25 4 2" xfId="1455" xr:uid="{D54123BA-556D-4D7E-BF5B-E2ACE70A1FD0}"/>
    <cellStyle name="Millares 25 5" xfId="1009" xr:uid="{CE53502C-9118-4C64-AA7B-A5C1F28D0D98}"/>
    <cellStyle name="Millares 26" xfId="103" xr:uid="{610A5C84-8C79-46B9-89B4-A85C95CC0A78}"/>
    <cellStyle name="Millares 26 2" xfId="195" xr:uid="{3A99C210-25C9-4EA8-8A5A-9F598F64D323}"/>
    <cellStyle name="Millares 26 2 2" xfId="420" xr:uid="{50F3AD85-C68B-4ECB-88F4-4CD5D475641A}"/>
    <cellStyle name="Millares 26 2 2 2" xfId="870" xr:uid="{FCBA0AFF-E6C5-4F41-AF80-DB8729379525}"/>
    <cellStyle name="Millares 26 2 2 2 2" xfId="1767" xr:uid="{3E498A71-CBD8-4418-B9FB-4201C9B7A587}"/>
    <cellStyle name="Millares 26 2 2 3" xfId="1321" xr:uid="{8973BA06-8C74-48C6-858B-7E96B9AAC5AB}"/>
    <cellStyle name="Millares 26 2 3" xfId="647" xr:uid="{9E01BEC5-F92F-4795-8469-26699B91301B}"/>
    <cellStyle name="Millares 26 2 3 2" xfId="1544" xr:uid="{ACCF7A63-0E41-46DE-A70F-259075560FF3}"/>
    <cellStyle name="Millares 26 2 4" xfId="1098" xr:uid="{A335F191-33BF-4FFC-B715-71C277805489}"/>
    <cellStyle name="Millares 26 3" xfId="333" xr:uid="{6C1E1AC4-48FE-4BEC-95B9-0DC6B2762594}"/>
    <cellStyle name="Millares 26 3 2" xfId="783" xr:uid="{4A00B3B1-2212-4FEB-9CF0-26A35EBDA903}"/>
    <cellStyle name="Millares 26 3 2 2" xfId="1680" xr:uid="{17DFCFD1-17C4-4D78-BB06-561895D4E7F4}"/>
    <cellStyle name="Millares 26 3 3" xfId="1234" xr:uid="{92DE6800-47B6-48E4-90A2-AB6E78036965}"/>
    <cellStyle name="Millares 26 4" xfId="560" xr:uid="{FD53A15D-E911-4615-A9DA-AA5D3D2AAC6B}"/>
    <cellStyle name="Millares 26 4 2" xfId="1457" xr:uid="{E27C54AE-4BC5-47B2-887F-0B3BA57EEE3E}"/>
    <cellStyle name="Millares 26 5" xfId="1011" xr:uid="{96EAC3E0-226E-48DA-B548-C40F87C8EA78}"/>
    <cellStyle name="Millares 27" xfId="107" xr:uid="{23B8A0A4-0CA0-4F34-99CB-305484206450}"/>
    <cellStyle name="Millares 27 2" xfId="198" xr:uid="{C7E58F4B-F0D5-4B27-9AB7-5AB891EFC223}"/>
    <cellStyle name="Millares 27 2 2" xfId="423" xr:uid="{ACCAA39E-1F30-4FBA-B7BA-47DB9391C669}"/>
    <cellStyle name="Millares 27 2 2 2" xfId="873" xr:uid="{576C2AAC-E011-482A-8DA5-99F6288970E8}"/>
    <cellStyle name="Millares 27 2 2 2 2" xfId="1770" xr:uid="{8E4BD230-C3A3-4CDB-8E30-A25D17B8244B}"/>
    <cellStyle name="Millares 27 2 2 3" xfId="1324" xr:uid="{9F4179BC-9E7E-42FE-A04A-3FC87B087973}"/>
    <cellStyle name="Millares 27 2 3" xfId="650" xr:uid="{6964C247-E114-4D49-95D0-A87A8B2CC7DC}"/>
    <cellStyle name="Millares 27 2 3 2" xfId="1547" xr:uid="{894993BE-9266-476F-90AD-03E7643AB1A8}"/>
    <cellStyle name="Millares 27 2 4" xfId="1101" xr:uid="{C818ED37-B810-4CC2-8A0B-F913FF4AFFBA}"/>
    <cellStyle name="Millares 27 3" xfId="336" xr:uid="{18ECB0B1-CDCC-48C4-A9DC-F087A2B72A5F}"/>
    <cellStyle name="Millares 27 3 2" xfId="786" xr:uid="{448C8E47-73D6-496B-A540-D04AD2955A48}"/>
    <cellStyle name="Millares 27 3 2 2" xfId="1683" xr:uid="{1ADEF2B4-6F86-45F6-939F-234B6C9A39D5}"/>
    <cellStyle name="Millares 27 3 3" xfId="1237" xr:uid="{1ACD41CD-0758-46AF-AF57-37EF708469E2}"/>
    <cellStyle name="Millares 27 4" xfId="563" xr:uid="{199E29F1-7F64-4969-8104-BD8A52C24E5D}"/>
    <cellStyle name="Millares 27 4 2" xfId="1460" xr:uid="{80DAA184-E1C0-4BFA-A691-9FFB01F291CB}"/>
    <cellStyle name="Millares 27 5" xfId="1014" xr:uid="{DD3691ED-EEF1-4009-9442-A2BCCB44C97A}"/>
    <cellStyle name="Millares 28" xfId="111" xr:uid="{716665AC-3E85-42C9-BD62-9F4F94638E4B}"/>
    <cellStyle name="Millares 28 2" xfId="202" xr:uid="{5266F5FF-DECE-490A-8FF7-84EA68979F42}"/>
    <cellStyle name="Millares 28 2 2" xfId="427" xr:uid="{1C9AC543-3F15-47BA-9110-CA87DB044FF2}"/>
    <cellStyle name="Millares 28 2 2 2" xfId="877" xr:uid="{52C26DA6-6A93-4727-BE4E-3777E90A9F99}"/>
    <cellStyle name="Millares 28 2 2 2 2" xfId="1774" xr:uid="{571FC0A7-EE95-4650-8FC1-A799CB3FD904}"/>
    <cellStyle name="Millares 28 2 2 3" xfId="1328" xr:uid="{4C1EECBF-92BF-4EC0-8741-31E7785A6253}"/>
    <cellStyle name="Millares 28 2 3" xfId="654" xr:uid="{C9BBBAB8-B480-47B2-8B07-3752B5559692}"/>
    <cellStyle name="Millares 28 2 3 2" xfId="1551" xr:uid="{85719AD4-21AA-4367-BB1B-ECD07228821C}"/>
    <cellStyle name="Millares 28 2 4" xfId="1105" xr:uid="{2E9AE5D4-434D-4B27-AC50-3231D57059ED}"/>
    <cellStyle name="Millares 28 3" xfId="340" xr:uid="{0C6CE33C-D128-4E7F-83D3-0EEE5F9D0C99}"/>
    <cellStyle name="Millares 28 3 2" xfId="790" xr:uid="{FA238F12-20DB-4A9F-87B5-FE6D15414DB4}"/>
    <cellStyle name="Millares 28 3 2 2" xfId="1687" xr:uid="{4819657C-DF46-4294-8F6B-C243999E20A4}"/>
    <cellStyle name="Millares 28 3 3" xfId="1241" xr:uid="{BC565716-1F03-4021-AE96-2819A3525333}"/>
    <cellStyle name="Millares 28 4" xfId="567" xr:uid="{B019059F-FB9E-4D2E-8851-CE632CE34CB7}"/>
    <cellStyle name="Millares 28 4 2" xfId="1464" xr:uid="{66A775B2-A783-4EE6-81CE-55E98ABD8703}"/>
    <cellStyle name="Millares 28 5" xfId="1018" xr:uid="{BA82B0D4-7CAD-43EE-8EBA-44B62EBEF59B}"/>
    <cellStyle name="Millares 29" xfId="114" xr:uid="{1EEF75EA-41A1-43A6-93F5-2A3116F0A5AA}"/>
    <cellStyle name="Millares 29 2" xfId="205" xr:uid="{7B77A57E-C735-47A2-8189-2DCC5CE4DBB1}"/>
    <cellStyle name="Millares 29 2 2" xfId="430" xr:uid="{6084F65C-398D-4FA6-9FD0-DEE4D131F344}"/>
    <cellStyle name="Millares 29 2 2 2" xfId="880" xr:uid="{DD3A55BB-15D6-4BDC-9848-7A73432171A5}"/>
    <cellStyle name="Millares 29 2 2 2 2" xfId="1777" xr:uid="{49D16075-EC83-403A-ABE5-A0574434ADE6}"/>
    <cellStyle name="Millares 29 2 2 3" xfId="1331" xr:uid="{D530580E-D6C4-4260-A939-D0947F709B8E}"/>
    <cellStyle name="Millares 29 2 3" xfId="657" xr:uid="{00120FFC-D3FA-4408-A3A4-C9BEE76F5368}"/>
    <cellStyle name="Millares 29 2 3 2" xfId="1554" xr:uid="{E969E5F3-1821-4E83-A293-80BB98C032D4}"/>
    <cellStyle name="Millares 29 2 4" xfId="1108" xr:uid="{A8F1D72A-785D-473A-A2EA-DA1DFEE5B5A7}"/>
    <cellStyle name="Millares 29 3" xfId="343" xr:uid="{B21FEA1E-68B7-4AFE-AD53-14635880DDDF}"/>
    <cellStyle name="Millares 29 3 2" xfId="793" xr:uid="{916E6173-3FBA-4F64-AE1C-F940AD158FCA}"/>
    <cellStyle name="Millares 29 3 2 2" xfId="1690" xr:uid="{B7253D3A-6A9C-4793-BEB0-932B3310CF7A}"/>
    <cellStyle name="Millares 29 3 3" xfId="1244" xr:uid="{8F73A219-6A10-44C4-89CB-ED4E2F1DF602}"/>
    <cellStyle name="Millares 29 4" xfId="570" xr:uid="{D7A2805A-8D5F-4667-8C29-A4DF33FD16EC}"/>
    <cellStyle name="Millares 29 4 2" xfId="1467" xr:uid="{BC8DB12F-475F-4879-B051-F34144554603}"/>
    <cellStyle name="Millares 29 5" xfId="1021" xr:uid="{A98CBEF2-A532-4C7C-9066-8DD110B915E1}"/>
    <cellStyle name="Millares 3" xfId="7" xr:uid="{00000000-0005-0000-0000-000006000000}"/>
    <cellStyle name="Millares 3 10" xfId="941" xr:uid="{9ED4DE52-BD98-4D0B-835C-1C569391F1DC}"/>
    <cellStyle name="Millares 3 2" xfId="8" xr:uid="{00000000-0005-0000-0000-000007000000}"/>
    <cellStyle name="Millares 3 3" xfId="49" xr:uid="{2162B24E-46A6-41C2-9F5E-146B52AC2F23}"/>
    <cellStyle name="Millares 3 3 2" xfId="144" xr:uid="{4BB50F19-8637-4C4A-88FF-EF5E333862C1}"/>
    <cellStyle name="Millares 3 3 2 2" xfId="369" xr:uid="{F887938B-0355-4A41-B278-59CA365BBCD2}"/>
    <cellStyle name="Millares 3 3 2 2 2" xfId="819" xr:uid="{FF04114A-9403-48CA-B75D-B9B37486F84E}"/>
    <cellStyle name="Millares 3 3 2 2 2 2" xfId="1716" xr:uid="{FBE2A0AD-F0F6-4B5C-9515-F8D8D161423C}"/>
    <cellStyle name="Millares 3 3 2 2 3" xfId="1270" xr:uid="{CB48F8F2-3D36-485E-92CC-CE679C91A1C3}"/>
    <cellStyle name="Millares 3 3 2 3" xfId="596" xr:uid="{1E6C140F-163D-480D-AF2F-13DCEA0AD750}"/>
    <cellStyle name="Millares 3 3 2 3 2" xfId="1493" xr:uid="{D1A7A567-F44C-417A-A2E9-71A4571A71EC}"/>
    <cellStyle name="Millares 3 3 2 4" xfId="1047" xr:uid="{B87AE023-D79D-48A9-BE92-81D499EFF357}"/>
    <cellStyle name="Millares 3 3 3" xfId="282" xr:uid="{4039B1E3-241E-411F-A497-1AB775C54C33}"/>
    <cellStyle name="Millares 3 3 3 2" xfId="732" xr:uid="{6ED21B44-A79E-481E-81CC-1677FC5824B2}"/>
    <cellStyle name="Millares 3 3 3 2 2" xfId="1629" xr:uid="{43E826E9-F905-4E8E-A164-F555893FBB01}"/>
    <cellStyle name="Millares 3 3 3 3" xfId="1183" xr:uid="{063FE242-CAD0-4262-BC27-BCA0380B2682}"/>
    <cellStyle name="Millares 3 3 4" xfId="509" xr:uid="{B38A4820-C581-40E7-804F-7A572FAEA8AD}"/>
    <cellStyle name="Millares 3 3 4 2" xfId="1406" xr:uid="{D8C1BD9C-E3BA-4CB1-B1C0-0270DBC8AB2E}"/>
    <cellStyle name="Millares 3 3 5" xfId="960" xr:uid="{26CF248B-3569-4206-BAD5-477A310430FF}"/>
    <cellStyle name="Millares 3 4" xfId="125" xr:uid="{DC439D84-4F66-48B3-AECB-EF51C89CB0CC}"/>
    <cellStyle name="Millares 3 4 2" xfId="352" xr:uid="{F7125487-5B8A-41B8-B52D-3D16BD82509B}"/>
    <cellStyle name="Millares 3 4 2 2" xfId="802" xr:uid="{1DC4A528-F879-4ACC-9CD6-C1B4BA7C863C}"/>
    <cellStyle name="Millares 3 4 2 2 2" xfId="1699" xr:uid="{1C346FAC-8F06-4987-A47C-AF461857673F}"/>
    <cellStyle name="Millares 3 4 2 3" xfId="1253" xr:uid="{8765DC82-D1C7-4AA8-A5E5-ACAE6E633ED1}"/>
    <cellStyle name="Millares 3 4 3" xfId="579" xr:uid="{60064BA7-D65D-4A37-A267-652081F40556}"/>
    <cellStyle name="Millares 3 4 3 2" xfId="1476" xr:uid="{4374B7C4-BBD1-4C3D-A1BE-8824C7121615}"/>
    <cellStyle name="Millares 3 4 4" xfId="1030" xr:uid="{94B1C1EB-9B6E-4CED-A0BC-B9FE349080E9}"/>
    <cellStyle name="Millares 3 5" xfId="217" xr:uid="{4E0877CD-05A9-473C-B5EC-D9D69A10158F}"/>
    <cellStyle name="Millares 3 5 2" xfId="440" xr:uid="{763A93C3-8F4F-495E-A749-19BDA85E1717}"/>
    <cellStyle name="Millares 3 5 2 2" xfId="890" xr:uid="{C59B1AEB-5CC2-455A-9712-758BB3C89179}"/>
    <cellStyle name="Millares 3 5 2 2 2" xfId="1787" xr:uid="{62BB1414-BCEF-4F9F-B0B7-A92141E0F3B1}"/>
    <cellStyle name="Millares 3 5 2 3" xfId="1341" xr:uid="{5C7F2572-9E62-4A04-BD62-031CFFC4DBD3}"/>
    <cellStyle name="Millares 3 5 3" xfId="667" xr:uid="{63F0996D-45A4-4EF5-B445-7E1B19F66207}"/>
    <cellStyle name="Millares 3 5 3 2" xfId="1564" xr:uid="{C10ABB32-AD12-4434-A421-46AE9A3928A1}"/>
    <cellStyle name="Millares 3 5 4" xfId="1118" xr:uid="{7225375F-C954-4E0B-8065-0C4B48EBD6A8}"/>
    <cellStyle name="Millares 3 6" xfId="226" xr:uid="{2AC1000B-317A-401A-B206-D5FBFC6DF1C6}"/>
    <cellStyle name="Millares 3 6 2" xfId="449" xr:uid="{E517C1BD-1C45-4F0E-9F88-63DACA277B49}"/>
    <cellStyle name="Millares 3 6 2 2" xfId="899" xr:uid="{0489E214-C043-46D4-BC53-0150C418A904}"/>
    <cellStyle name="Millares 3 6 2 2 2" xfId="1796" xr:uid="{35DE640C-B1DD-4932-A726-300000BED906}"/>
    <cellStyle name="Millares 3 6 2 3" xfId="1350" xr:uid="{6E6FED6A-8673-4926-95AA-3EB290B1F868}"/>
    <cellStyle name="Millares 3 6 3" xfId="676" xr:uid="{446132B6-60C4-461B-A8DB-E7B0F24436A8}"/>
    <cellStyle name="Millares 3 6 3 2" xfId="1573" xr:uid="{2BD1CDBD-6B33-4A0F-A83E-DC65C17D2FFB}"/>
    <cellStyle name="Millares 3 6 4" xfId="1127" xr:uid="{7B66D4D8-A8CB-4D41-8638-4099A1E0049B}"/>
    <cellStyle name="Millares 3 7" xfId="250" xr:uid="{68C88A84-A496-48C7-8C15-296D2C13938C}"/>
    <cellStyle name="Millares 3 7 2" xfId="473" xr:uid="{55EA7214-8D51-43A4-9303-336A72174A35}"/>
    <cellStyle name="Millares 3 7 2 2" xfId="923" xr:uid="{87428A11-341C-4C0D-912A-667E4F749E56}"/>
    <cellStyle name="Millares 3 7 2 2 2" xfId="1820" xr:uid="{EB244CB3-8545-4D52-AB94-115B95EACC58}"/>
    <cellStyle name="Millares 3 7 2 3" xfId="1374" xr:uid="{1B80F810-2271-4D87-ACB7-2230A35D358D}"/>
    <cellStyle name="Millares 3 7 3" xfId="700" xr:uid="{EB6F02C1-0754-48A9-8562-6285CC04B0F1}"/>
    <cellStyle name="Millares 3 7 3 2" xfId="1597" xr:uid="{F9E26591-39BF-46F0-81F0-AA254422E971}"/>
    <cellStyle name="Millares 3 7 4" xfId="1151" xr:uid="{B90D6A6D-2835-41F1-9D2C-F88FAAD81024}"/>
    <cellStyle name="Millares 3 8" xfId="265" xr:uid="{8C85AAD8-ED2B-4C85-9396-EE1EDCE06D11}"/>
    <cellStyle name="Millares 3 8 2" xfId="715" xr:uid="{300B9D97-CB57-43E2-9395-A80D4FFD0C02}"/>
    <cellStyle name="Millares 3 8 2 2" xfId="1612" xr:uid="{DC145401-D1ED-446E-986D-5B467DE33131}"/>
    <cellStyle name="Millares 3 8 3" xfId="1166" xr:uid="{A7A230EA-BB57-4962-937F-F44F63909E7F}"/>
    <cellStyle name="Millares 3 9" xfId="490" xr:uid="{0F81E3C0-9E61-4B76-B135-F470E1A0CEC6}"/>
    <cellStyle name="Millares 3 9 2" xfId="1389" xr:uid="{B0F7B283-5C7F-40D7-94A9-109DBAF0FF46}"/>
    <cellStyle name="Millares 30" xfId="116" xr:uid="{C7E1DAE8-9FE7-42A2-B7C5-671C0EB9B84E}"/>
    <cellStyle name="Millares 30 2" xfId="207" xr:uid="{6E878B00-9932-4360-846D-B16AE7C152B2}"/>
    <cellStyle name="Millares 30 2 2" xfId="432" xr:uid="{E4A2D613-8CA4-41EE-9558-7659394167D9}"/>
    <cellStyle name="Millares 30 2 2 2" xfId="882" xr:uid="{BDCD9808-F046-4745-B893-9E4A4933F7B9}"/>
    <cellStyle name="Millares 30 2 2 2 2" xfId="1779" xr:uid="{6314313A-9FD7-4406-B8A1-41457FC22BB0}"/>
    <cellStyle name="Millares 30 2 2 3" xfId="1333" xr:uid="{9D42D7CC-916A-4AE4-81F8-CB7B7024F9CF}"/>
    <cellStyle name="Millares 30 2 3" xfId="659" xr:uid="{31C24ED5-654C-4D5A-A1AA-F40BF98D9D64}"/>
    <cellStyle name="Millares 30 2 3 2" xfId="1556" xr:uid="{695D6FEC-56F3-4F6B-A7B4-557C55B0B667}"/>
    <cellStyle name="Millares 30 2 4" xfId="1110" xr:uid="{D67F6CD3-6D18-4DCF-AED3-C46A9ED366A5}"/>
    <cellStyle name="Millares 30 3" xfId="345" xr:uid="{03A83A1C-4FCC-4227-8854-3752B19408CF}"/>
    <cellStyle name="Millares 30 3 2" xfId="795" xr:uid="{95C26AD5-D030-4B2E-9944-1CB38779925F}"/>
    <cellStyle name="Millares 30 3 2 2" xfId="1692" xr:uid="{BEA20A53-C3BA-4289-867C-CBB8CED065BC}"/>
    <cellStyle name="Millares 30 3 3" xfId="1246" xr:uid="{A19FEEA2-FB33-4EE8-BB04-7FA1C6548A81}"/>
    <cellStyle name="Millares 30 4" xfId="572" xr:uid="{9E900DFF-D46A-41BB-AED4-8ACFBCA37055}"/>
    <cellStyle name="Millares 30 4 2" xfId="1469" xr:uid="{D25C1216-9AA6-4438-A165-96DEE8FB0358}"/>
    <cellStyle name="Millares 30 5" xfId="1023" xr:uid="{FD399638-C89E-4F3E-9CF2-B00D1FD0B95B}"/>
    <cellStyle name="Millares 31" xfId="119" xr:uid="{BDFD042F-B23D-4184-A08B-EF90A9826A2C}"/>
    <cellStyle name="Millares 31 2" xfId="210" xr:uid="{DF50D96B-AEC5-4C12-87AB-A785EC31EDE0}"/>
    <cellStyle name="Millares 31 2 2" xfId="435" xr:uid="{CDF8F559-617B-4738-9BE3-13C573F7D894}"/>
    <cellStyle name="Millares 31 2 2 2" xfId="885" xr:uid="{6A9237AF-5CA2-4F67-BF10-BDDA8C80BEFC}"/>
    <cellStyle name="Millares 31 2 2 2 2" xfId="1782" xr:uid="{2DF2F0A3-AD77-4920-9CA2-FD2B102F8714}"/>
    <cellStyle name="Millares 31 2 2 3" xfId="1336" xr:uid="{FD1F8C59-492E-40F5-BD21-A2A45B715522}"/>
    <cellStyle name="Millares 31 2 3" xfId="662" xr:uid="{AD6C0CFD-3DA0-4D77-B457-6BA363EB2801}"/>
    <cellStyle name="Millares 31 2 3 2" xfId="1559" xr:uid="{17987BD0-3BD2-4DE1-8604-2F24AEB4E5D7}"/>
    <cellStyle name="Millares 31 2 4" xfId="1113" xr:uid="{B64D7E83-9B72-47D5-BD58-ECCA9582780E}"/>
    <cellStyle name="Millares 31 3" xfId="348" xr:uid="{314B47D6-9488-4BC4-9D42-2F740E97FBC5}"/>
    <cellStyle name="Millares 31 3 2" xfId="798" xr:uid="{9213AD9C-F369-4CF5-BAAE-6E73546F8B96}"/>
    <cellStyle name="Millares 31 3 2 2" xfId="1695" xr:uid="{E44CC093-12FB-4D4E-B033-0302BB0BDA79}"/>
    <cellStyle name="Millares 31 3 3" xfId="1249" xr:uid="{6B42794D-9297-4A4D-8F73-CB347A036A7C}"/>
    <cellStyle name="Millares 31 4" xfId="575" xr:uid="{55759531-7FF1-496D-B9EE-C8FED7285E89}"/>
    <cellStyle name="Millares 31 4 2" xfId="1472" xr:uid="{7F0AEEBD-B9A2-41C3-A32A-ADE1F03721C3}"/>
    <cellStyle name="Millares 31 5" xfId="1026" xr:uid="{D61D2F8F-DF5C-4491-A862-BA3C8348602C}"/>
    <cellStyle name="Millares 32" xfId="123" xr:uid="{3A30E84C-3EF0-4F69-B5F3-D8035A3D1B80}"/>
    <cellStyle name="Millares 33" xfId="213" xr:uid="{F5EAD676-EB10-4CCB-A816-8B7F4B661D6A}"/>
    <cellStyle name="Millares 33 2" xfId="438" xr:uid="{24B9071E-22E3-4C4E-B6CD-A1F6EE3C92FF}"/>
    <cellStyle name="Millares 33 2 2" xfId="888" xr:uid="{EA2FB1B8-5FFF-4136-81A4-5D512D3D2967}"/>
    <cellStyle name="Millares 33 2 2 2" xfId="1785" xr:uid="{33895301-F10C-4A47-81E1-664A50DA570A}"/>
    <cellStyle name="Millares 33 2 3" xfId="1339" xr:uid="{DAFB9DB9-0D1C-461F-9AE2-DD7CF664E204}"/>
    <cellStyle name="Millares 33 3" xfId="665" xr:uid="{CFFB4993-F585-481D-86A6-214D55F6937C}"/>
    <cellStyle name="Millares 33 3 2" xfId="1562" xr:uid="{05B6B594-6509-403F-9155-E93AFA291DB2}"/>
    <cellStyle name="Millares 33 4" xfId="1116" xr:uid="{2CCE277C-6C3F-4707-93F1-C0BCBB5B7122}"/>
    <cellStyle name="Millares 34" xfId="224" xr:uid="{E701C537-04E2-4099-91A3-973FB108F574}"/>
    <cellStyle name="Millares 34 2" xfId="447" xr:uid="{6DE6206C-5C07-4A7D-8E85-28EDACE1FC7E}"/>
    <cellStyle name="Millares 34 2 2" xfId="897" xr:uid="{B127C032-EE4F-4F71-9490-A42B9DC3F2C1}"/>
    <cellStyle name="Millares 34 2 2 2" xfId="1794" xr:uid="{4D3E696C-24A6-4BAE-9A98-6FB9577D41E1}"/>
    <cellStyle name="Millares 34 2 3" xfId="1348" xr:uid="{C4C5DCBD-FD81-4E2B-ADC0-4596F9169508}"/>
    <cellStyle name="Millares 34 3" xfId="674" xr:uid="{CAF1686F-4C4A-44B4-AF2A-1F76F648D50A}"/>
    <cellStyle name="Millares 34 3 2" xfId="1571" xr:uid="{1096E67F-7B99-4B61-BF13-AB8A85F70A5A}"/>
    <cellStyle name="Millares 34 4" xfId="1125" xr:uid="{1170522B-2737-45B8-BA15-2A5FBB9F6F2D}"/>
    <cellStyle name="Millares 35" xfId="234" xr:uid="{B8B25F57-F4A8-4B9E-8EE3-EA4F93BC496D}"/>
    <cellStyle name="Millares 35 2" xfId="457" xr:uid="{2AE82FB5-48A5-4948-9B50-5CE8B19172E4}"/>
    <cellStyle name="Millares 35 2 2" xfId="907" xr:uid="{E3CBA0D1-A684-4C80-8318-9F8A06305DD8}"/>
    <cellStyle name="Millares 35 2 2 2" xfId="1804" xr:uid="{DEE65653-5298-4876-884C-56E08C07F211}"/>
    <cellStyle name="Millares 35 2 3" xfId="1358" xr:uid="{4D720E49-7CBB-41C9-B88F-748F5C6F83B6}"/>
    <cellStyle name="Millares 35 3" xfId="684" xr:uid="{5C0C28DB-610E-4AF0-9F41-A6F9224C7A56}"/>
    <cellStyle name="Millares 35 3 2" xfId="1581" xr:uid="{24F25DAA-AFDF-489D-BA68-A6D32AD30AD6}"/>
    <cellStyle name="Millares 35 4" xfId="1135" xr:uid="{61895A50-9DDF-4477-B8B5-81BD1467ED0B}"/>
    <cellStyle name="Millares 36" xfId="235" xr:uid="{F07EEC34-F6B5-4080-9EF3-CE4AC2874265}"/>
    <cellStyle name="Millares 36 2" xfId="458" xr:uid="{2D6C8383-99E2-4D7B-AD04-0DC6DADEB63C}"/>
    <cellStyle name="Millares 36 2 2" xfId="908" xr:uid="{A98A817C-690A-4653-A4BC-D8A131E7D7EB}"/>
    <cellStyle name="Millares 36 2 2 2" xfId="1805" xr:uid="{3CC87C89-EAD7-41F5-B601-00E2ED9670B4}"/>
    <cellStyle name="Millares 36 2 3" xfId="1359" xr:uid="{AD5ECC8C-5929-4DF2-98A8-4953910770E5}"/>
    <cellStyle name="Millares 36 3" xfId="685" xr:uid="{571A69FD-FF31-414B-9189-82CA2BE33A3C}"/>
    <cellStyle name="Millares 36 3 2" xfId="1582" xr:uid="{1433BE57-1C3F-4E30-90DF-BC2C2000D4C3}"/>
    <cellStyle name="Millares 36 4" xfId="1136" xr:uid="{3D8447E5-A794-4940-87DC-DD7D8A9AF615}"/>
    <cellStyle name="Millares 37" xfId="237" xr:uid="{2A17425C-9209-48A1-B61E-A208BA69AF67}"/>
    <cellStyle name="Millares 37 2" xfId="460" xr:uid="{DFAAC6A3-3C69-42C3-90A8-9F314B79BE53}"/>
    <cellStyle name="Millares 37 2 2" xfId="910" xr:uid="{E309C789-FCEE-4272-B17F-46CF1D7FDC08}"/>
    <cellStyle name="Millares 37 2 2 2" xfId="1807" xr:uid="{5F0A7AFE-C619-4C3C-8586-27415717C5EF}"/>
    <cellStyle name="Millares 37 2 3" xfId="1361" xr:uid="{D36AF752-40C3-4E5D-B9BF-E76D808CBD8C}"/>
    <cellStyle name="Millares 37 3" xfId="687" xr:uid="{90C013F7-7E9A-4E54-BA22-7AAA42D47539}"/>
    <cellStyle name="Millares 37 3 2" xfId="1584" xr:uid="{4A204D1F-3103-44AC-BBE5-3CE3ED4C0ECF}"/>
    <cellStyle name="Millares 37 4" xfId="1138" xr:uid="{90A29031-F872-41F4-BB09-391E3997AFF6}"/>
    <cellStyle name="Millares 38" xfId="239" xr:uid="{DF55E476-9757-4EB4-88F2-2C7F594C141F}"/>
    <cellStyle name="Millares 38 2" xfId="462" xr:uid="{E8587CB8-D26D-4BC4-BC37-9631FE42132F}"/>
    <cellStyle name="Millares 38 2 2" xfId="912" xr:uid="{9512D868-7C2B-4CD2-815A-FE5C5BFEAFB7}"/>
    <cellStyle name="Millares 38 2 2 2" xfId="1809" xr:uid="{28226C1C-1808-40E0-9A67-95B2D55B7009}"/>
    <cellStyle name="Millares 38 2 3" xfId="1363" xr:uid="{575388D7-8AEB-43D8-A6DB-758076AF5D61}"/>
    <cellStyle name="Millares 38 3" xfId="689" xr:uid="{C0A819E6-D82E-4CF2-B692-28529A4E69A0}"/>
    <cellStyle name="Millares 38 3 2" xfId="1586" xr:uid="{A1E45F2B-0E00-4485-AB2E-C764A2C2816D}"/>
    <cellStyle name="Millares 38 4" xfId="1140" xr:uid="{5172F69E-3992-4FBF-B769-86C90FE3C51E}"/>
    <cellStyle name="Millares 39" xfId="242" xr:uid="{87E68C88-BED0-4500-8E23-B7DADF66947B}"/>
    <cellStyle name="Millares 39 2" xfId="465" xr:uid="{B612A2B9-E679-47EF-8AB7-A0A1A8A58288}"/>
    <cellStyle name="Millares 39 2 2" xfId="915" xr:uid="{F6865674-BAD2-47A2-9870-B40F8DF0684E}"/>
    <cellStyle name="Millares 39 2 2 2" xfId="1812" xr:uid="{F9669791-0BA6-4DD4-A672-65AEFACE954E}"/>
    <cellStyle name="Millares 39 2 3" xfId="1366" xr:uid="{82D8E757-D01C-435A-9C13-12FE21B861FE}"/>
    <cellStyle name="Millares 39 3" xfId="692" xr:uid="{0C7E5B4B-5C59-40FA-A807-F293A3C43BA0}"/>
    <cellStyle name="Millares 39 3 2" xfId="1589" xr:uid="{8B311057-53BD-4CCF-975D-EB549B42B67E}"/>
    <cellStyle name="Millares 39 4" xfId="1143" xr:uid="{EF4EDFD3-9804-4C80-8C6D-C84CF4D6DB0D}"/>
    <cellStyle name="Millares 4" xfId="9" xr:uid="{00000000-0005-0000-0000-000008000000}"/>
    <cellStyle name="Millares 4 2" xfId="50" xr:uid="{437B2D42-4C88-43BF-8725-9B2E20FF7969}"/>
    <cellStyle name="Millares 4 2 2" xfId="145" xr:uid="{08EB03DD-D035-4C4B-9DBD-166965D5BA8A}"/>
    <cellStyle name="Millares 4 2 2 2" xfId="370" xr:uid="{111B38EA-737E-40F9-B1A0-8409B23381FE}"/>
    <cellStyle name="Millares 4 2 2 2 2" xfId="820" xr:uid="{49845A9C-6E40-4549-B141-B1616D64896B}"/>
    <cellStyle name="Millares 4 2 2 2 2 2" xfId="1717" xr:uid="{91EA8B73-7B87-47B6-A1C0-9613EA2181BC}"/>
    <cellStyle name="Millares 4 2 2 2 3" xfId="1271" xr:uid="{C367C462-0BF0-4735-824B-1D055B8F2AFD}"/>
    <cellStyle name="Millares 4 2 2 3" xfId="597" xr:uid="{E366877B-7E6B-4984-AAD5-B17F80330CC5}"/>
    <cellStyle name="Millares 4 2 2 3 2" xfId="1494" xr:uid="{32B2E223-979D-48BF-AB47-FC8716FE3885}"/>
    <cellStyle name="Millares 4 2 2 4" xfId="1048" xr:uid="{D3E45AD4-EE60-41A9-BE8A-F0EF8ADD21AE}"/>
    <cellStyle name="Millares 4 2 3" xfId="283" xr:uid="{CAE9082B-D010-4101-9F15-4AEE30A83E5F}"/>
    <cellStyle name="Millares 4 2 3 2" xfId="733" xr:uid="{29586ED8-09C1-450B-85C3-536E44472934}"/>
    <cellStyle name="Millares 4 2 3 2 2" xfId="1630" xr:uid="{B5968134-120E-419A-AC0A-9AF9F2D4A4CA}"/>
    <cellStyle name="Millares 4 2 3 3" xfId="1184" xr:uid="{02ACDE0E-D6D3-4983-8412-3106AA5E0BDD}"/>
    <cellStyle name="Millares 4 2 4" xfId="510" xr:uid="{C286A896-38ED-4C42-BC8F-559B5D7CA1E0}"/>
    <cellStyle name="Millares 4 2 4 2" xfId="1407" xr:uid="{916F98FC-608C-4EB9-BA05-9C2DDBFB064E}"/>
    <cellStyle name="Millares 4 2 5" xfId="961" xr:uid="{74107B23-AFEB-47CF-8AEA-CC41E657238F}"/>
    <cellStyle name="Millares 4 3" xfId="126" xr:uid="{D2F683CE-E4DC-44C0-8016-3354E2E495C5}"/>
    <cellStyle name="Millares 4 3 2" xfId="353" xr:uid="{941E626D-5474-493C-849A-82CE3CEC2AEB}"/>
    <cellStyle name="Millares 4 3 2 2" xfId="803" xr:uid="{5178C157-FDB1-4751-BB30-BB96875D8FBB}"/>
    <cellStyle name="Millares 4 3 2 2 2" xfId="1700" xr:uid="{19FE617B-B3AF-40D9-8F7B-2262E348EF00}"/>
    <cellStyle name="Millares 4 3 2 3" xfId="1254" xr:uid="{64C372D6-1619-4346-BFAE-1F23FFADAA54}"/>
    <cellStyle name="Millares 4 3 3" xfId="580" xr:uid="{EEE3B4EF-CC84-4138-BD37-FAA583095853}"/>
    <cellStyle name="Millares 4 3 3 2" xfId="1477" xr:uid="{2CE9516B-0D16-4843-AFD4-134CE64C49C8}"/>
    <cellStyle name="Millares 4 3 4" xfId="1031" xr:uid="{83EE1D03-4BC1-4EB2-9E47-559DBD19D801}"/>
    <cellStyle name="Millares 4 4" xfId="218" xr:uid="{82299CA8-7FA9-45C1-804D-5696104D63DA}"/>
    <cellStyle name="Millares 4 4 2" xfId="441" xr:uid="{08DEEAF0-A3A8-45D0-830A-9A684AEAE80E}"/>
    <cellStyle name="Millares 4 4 2 2" xfId="891" xr:uid="{D277F94B-4A57-40D0-87A2-3E5E189B8ADC}"/>
    <cellStyle name="Millares 4 4 2 2 2" xfId="1788" xr:uid="{866F7B8F-2BDF-41A1-BE01-C53DDC884B3D}"/>
    <cellStyle name="Millares 4 4 2 3" xfId="1342" xr:uid="{2E82C1AD-1B55-4330-86E5-5D48A695A603}"/>
    <cellStyle name="Millares 4 4 3" xfId="668" xr:uid="{A5612837-5F5A-4998-8A5D-0DDAB3141BC8}"/>
    <cellStyle name="Millares 4 4 3 2" xfId="1565" xr:uid="{950C9EC8-619B-4914-8975-1DC0C18FC27D}"/>
    <cellStyle name="Millares 4 4 4" xfId="1119" xr:uid="{0ECA1AB9-654F-441D-9452-336D722821A4}"/>
    <cellStyle name="Millares 4 5" xfId="227" xr:uid="{9D58F37B-11B7-42B4-980D-15C036C9DE8A}"/>
    <cellStyle name="Millares 4 5 2" xfId="450" xr:uid="{860F97CD-6FFE-494A-BA25-114B968A890E}"/>
    <cellStyle name="Millares 4 5 2 2" xfId="900" xr:uid="{76C4E91D-23C1-4063-9644-68ADF918DA01}"/>
    <cellStyle name="Millares 4 5 2 2 2" xfId="1797" xr:uid="{4C76AA4F-0639-4196-8C2B-BA1DF9BEFCF1}"/>
    <cellStyle name="Millares 4 5 2 3" xfId="1351" xr:uid="{A9CDC72C-1EC2-4C19-ACD3-FBBC1DE44035}"/>
    <cellStyle name="Millares 4 5 3" xfId="677" xr:uid="{81B44702-7D46-4C04-A383-DBDECFDD83AE}"/>
    <cellStyle name="Millares 4 5 3 2" xfId="1574" xr:uid="{B1AA1D95-EF1F-4F40-AC10-4CEB952F5261}"/>
    <cellStyle name="Millares 4 5 4" xfId="1128" xr:uid="{708F822B-2626-48C5-A15D-B0A62511591C}"/>
    <cellStyle name="Millares 4 6" xfId="251" xr:uid="{850BB167-C995-4DB6-8D2F-D50F83AA21C0}"/>
    <cellStyle name="Millares 4 6 2" xfId="474" xr:uid="{04B8AC2E-3DEE-43A9-A68C-20E738154C20}"/>
    <cellStyle name="Millares 4 6 2 2" xfId="924" xr:uid="{EC1F659A-6103-49DE-B57A-D38DC8C2CB3D}"/>
    <cellStyle name="Millares 4 6 2 2 2" xfId="1821" xr:uid="{B1051098-CF70-48B2-9E99-B4F91A4FBB06}"/>
    <cellStyle name="Millares 4 6 2 3" xfId="1375" xr:uid="{431EA589-9127-4072-B30D-2CD68A6B47E2}"/>
    <cellStyle name="Millares 4 6 3" xfId="701" xr:uid="{F24B3524-A362-476A-9EC6-1445078382F6}"/>
    <cellStyle name="Millares 4 6 3 2" xfId="1598" xr:uid="{1D9FEE92-57A6-4DD3-B674-C328D63E70EC}"/>
    <cellStyle name="Millares 4 6 4" xfId="1152" xr:uid="{94053AB0-B391-42AB-BB19-13F4D49511AB}"/>
    <cellStyle name="Millares 4 7" xfId="266" xr:uid="{05B99909-3B7D-472A-BA71-7352611C71A2}"/>
    <cellStyle name="Millares 4 7 2" xfId="716" xr:uid="{1F956262-3209-47C9-8242-AFDF555AEE60}"/>
    <cellStyle name="Millares 4 7 2 2" xfId="1613" xr:uid="{2DA630A0-927E-4180-9177-AD74926A1E73}"/>
    <cellStyle name="Millares 4 7 3" xfId="1167" xr:uid="{B9F54518-4398-4CD5-8289-55D2455891F5}"/>
    <cellStyle name="Millares 4 8" xfId="491" xr:uid="{0FC51C19-31E9-4E4D-AC08-C0F71959DB43}"/>
    <cellStyle name="Millares 4 8 2" xfId="1390" xr:uid="{4B1F0586-FB82-4BDF-A0BD-C2718B56479E}"/>
    <cellStyle name="Millares 4 9" xfId="942" xr:uid="{5043BBD3-50A5-44B0-9932-EF09D8290EC7}"/>
    <cellStyle name="Millares 40" xfId="245" xr:uid="{DE17601E-7DDE-4C83-85B2-8C802C5CF2BD}"/>
    <cellStyle name="Millares 40 2" xfId="468" xr:uid="{FB29F9FB-35E8-4FF6-ABC9-D2CA5DC25015}"/>
    <cellStyle name="Millares 40 2 2" xfId="918" xr:uid="{85B17C6E-F561-4B68-BA66-89B9967BC646}"/>
    <cellStyle name="Millares 40 2 2 2" xfId="1815" xr:uid="{CE4357EC-24A6-43DC-B586-0FC0D5D1BCD8}"/>
    <cellStyle name="Millares 40 2 3" xfId="1369" xr:uid="{D53697CD-28AD-427F-8798-CA094186D404}"/>
    <cellStyle name="Millares 40 3" xfId="695" xr:uid="{CC117241-8F0B-4436-904E-FFE78C7B6C6C}"/>
    <cellStyle name="Millares 40 3 2" xfId="1592" xr:uid="{863D725A-D576-4EDC-8425-8F5A5B1D6B82}"/>
    <cellStyle name="Millares 40 4" xfId="1146" xr:uid="{7D51A760-086C-4AF0-8428-25CC2D4000FB}"/>
    <cellStyle name="Millares 41" xfId="248" xr:uid="{26484287-BB86-4278-898C-B989A1CE92CE}"/>
    <cellStyle name="Millares 41 2" xfId="471" xr:uid="{30FC1E29-BBCF-4CF0-88F1-12259A642370}"/>
    <cellStyle name="Millares 41 2 2" xfId="921" xr:uid="{D4ECE158-28D1-4E06-8141-87CF3B3D3AF8}"/>
    <cellStyle name="Millares 41 2 2 2" xfId="1818" xr:uid="{EE424CFE-C877-4DFE-A732-E39017BBD67B}"/>
    <cellStyle name="Millares 41 2 3" xfId="1372" xr:uid="{FC4CC47B-758B-40B2-AC9C-03A8636AB3B4}"/>
    <cellStyle name="Millares 41 3" xfId="698" xr:uid="{ED816523-1F2B-43DF-8AA4-E9DB1086878A}"/>
    <cellStyle name="Millares 41 3 2" xfId="1595" xr:uid="{0F0C2873-140F-412F-B7C8-A5A591A47FA5}"/>
    <cellStyle name="Millares 41 4" xfId="1149" xr:uid="{19B4ACBA-C39F-4F46-900D-2D843DDF0C38}"/>
    <cellStyle name="Millares 42" xfId="257" xr:uid="{3324A468-C513-4002-8920-94C721933FB4}"/>
    <cellStyle name="Millares 42 2" xfId="480" xr:uid="{282E937E-FA4E-4FCD-B6F9-7D83E2943842}"/>
    <cellStyle name="Millares 42 2 2" xfId="930" xr:uid="{E4675A88-8062-4C67-B73D-CDBCBDDB09DF}"/>
    <cellStyle name="Millares 42 2 2 2" xfId="1827" xr:uid="{81AA28DC-0E6F-4CD3-843E-14B02844D72E}"/>
    <cellStyle name="Millares 42 2 3" xfId="1381" xr:uid="{1017C8F4-AE36-470A-A81B-C0480D5C539F}"/>
    <cellStyle name="Millares 42 3" xfId="707" xr:uid="{52C1C616-EC7F-44E9-A242-0F304E9F2A9B}"/>
    <cellStyle name="Millares 42 3 2" xfId="1604" xr:uid="{368FC4E6-09EA-435E-8BC7-0F34EE8514E9}"/>
    <cellStyle name="Millares 42 4" xfId="1158" xr:uid="{B578698C-DA56-435E-9898-097D86AD3519}"/>
    <cellStyle name="Millares 43" xfId="259" xr:uid="{A032A69D-7B1B-45D7-BC63-DCCC42585AAA}"/>
    <cellStyle name="Millares 43 2" xfId="482" xr:uid="{1134A656-50A7-42ED-975E-2A70F1AAA856}"/>
    <cellStyle name="Millares 43 2 2" xfId="932" xr:uid="{2C88BFFA-7410-40A7-86B1-76718E4CB6FB}"/>
    <cellStyle name="Millares 43 2 2 2" xfId="1829" xr:uid="{0C058969-CE75-4234-847C-C00C2C099BA9}"/>
    <cellStyle name="Millares 43 2 3" xfId="1383" xr:uid="{157C9C5F-72ED-4FAF-8F53-7B5FDAC670A1}"/>
    <cellStyle name="Millares 43 3" xfId="709" xr:uid="{C3AB9725-FBBF-4907-B387-82B06D41C59A}"/>
    <cellStyle name="Millares 43 3 2" xfId="1606" xr:uid="{C8F55EBC-98D4-40A3-AB23-58563F87FB41}"/>
    <cellStyle name="Millares 43 4" xfId="1160" xr:uid="{4199D560-97EC-41A4-BD4B-B69C84DF67B7}"/>
    <cellStyle name="Millares 44" xfId="263" xr:uid="{6080ADC6-A5B6-47C7-AB0D-E2FF86D9E80D}"/>
    <cellStyle name="Millares 44 2" xfId="713" xr:uid="{752D8288-1A1D-498A-8B1C-671EBFC58C20}"/>
    <cellStyle name="Millares 44 2 2" xfId="1610" xr:uid="{F37C5376-B259-4400-B404-DCF7C752DFE3}"/>
    <cellStyle name="Millares 44 3" xfId="1164" xr:uid="{5FFC7E51-B2F7-4C49-8CDA-A25C88F50C29}"/>
    <cellStyle name="Millares 45" xfId="488" xr:uid="{97CD731B-DA02-4E28-A4AD-BDFB6AC396B1}"/>
    <cellStyle name="Millares 46" xfId="486" xr:uid="{35782E77-3684-4523-9668-1BED6ECFD767}"/>
    <cellStyle name="Millares 46 2" xfId="1387" xr:uid="{D517D259-2B8D-490B-A2F8-2CD2C85CA08C}"/>
    <cellStyle name="Millares 47" xfId="939" xr:uid="{5179C0F8-B678-4D98-8CB1-0140CECD1414}"/>
    <cellStyle name="Millares 48" xfId="1838" xr:uid="{7CDD4AD3-BA9B-47BB-9F3B-785EE008A0A3}"/>
    <cellStyle name="Millares 49" xfId="1840" xr:uid="{BD335F34-A4A7-40CD-AC4C-1C343A76FA2C}"/>
    <cellStyle name="Millares 5" xfId="10" xr:uid="{00000000-0005-0000-0000-000009000000}"/>
    <cellStyle name="Millares 6" xfId="11" xr:uid="{00000000-0005-0000-0000-00000A000000}"/>
    <cellStyle name="Millares 7" xfId="12" xr:uid="{00000000-0005-0000-0000-00000B000000}"/>
    <cellStyle name="Millares 8" xfId="13" xr:uid="{00000000-0005-0000-0000-00000C000000}"/>
    <cellStyle name="Millares 9" xfId="35" xr:uid="{3941AF9B-A336-4620-AF81-8C657CC57506}"/>
    <cellStyle name="Millares 9 2" xfId="56" xr:uid="{3C4EBC09-3968-4A32-91F4-6A964129F84B}"/>
    <cellStyle name="Millares 9 2 2" xfId="150" xr:uid="{36216394-05E9-4C53-BFBA-0CE7FC2807E5}"/>
    <cellStyle name="Millares 9 2 2 2" xfId="375" xr:uid="{157900CA-5E1A-47B7-AEAD-FF0E14257E49}"/>
    <cellStyle name="Millares 9 2 2 2 2" xfId="825" xr:uid="{0B3BF753-8DF3-4F06-B254-FBB07268F29F}"/>
    <cellStyle name="Millares 9 2 2 2 2 2" xfId="1722" xr:uid="{5764B5A3-9ABA-4099-99B7-B638F6DC4CD8}"/>
    <cellStyle name="Millares 9 2 2 2 3" xfId="1276" xr:uid="{531FBA40-3A6D-4E45-9D27-14F1B003B2D4}"/>
    <cellStyle name="Millares 9 2 2 3" xfId="602" xr:uid="{31D6A4FE-C808-4796-AA5B-5FDD408E3180}"/>
    <cellStyle name="Millares 9 2 2 3 2" xfId="1499" xr:uid="{76BA5376-DA83-475B-8826-DC66741ECEA7}"/>
    <cellStyle name="Millares 9 2 2 4" xfId="1053" xr:uid="{7BD31AAE-3F71-4103-A542-16C8A545440A}"/>
    <cellStyle name="Millares 9 2 3" xfId="288" xr:uid="{45C94D45-8205-4B13-B6B8-7852D633F9D3}"/>
    <cellStyle name="Millares 9 2 3 2" xfId="738" xr:uid="{82CF91F3-7060-42A5-8381-119EA0EACF37}"/>
    <cellStyle name="Millares 9 2 3 2 2" xfId="1635" xr:uid="{31FF7306-DA9A-4494-A476-82411801B9C2}"/>
    <cellStyle name="Millares 9 2 3 3" xfId="1189" xr:uid="{ECA8C42D-9C7D-4E32-A5FA-8E0A1DD49D8F}"/>
    <cellStyle name="Millares 9 2 4" xfId="515" xr:uid="{0F721D4F-8901-435C-B5FA-5832E1F112CD}"/>
    <cellStyle name="Millares 9 2 4 2" xfId="1412" xr:uid="{46453BCF-67E3-421C-AE63-72E30F7D1A0C}"/>
    <cellStyle name="Millares 9 2 5" xfId="966" xr:uid="{3F804D25-2AAF-4F32-90E0-FF57F62B1E6C}"/>
    <cellStyle name="Millares 9 3" xfId="132" xr:uid="{16363AA7-E54E-433D-B288-E32BFB8E1846}"/>
    <cellStyle name="Millares 9 3 2" xfId="358" xr:uid="{0419F58B-BB63-4D41-8C12-8B4E6F86BAC1}"/>
    <cellStyle name="Millares 9 3 2 2" xfId="808" xr:uid="{D9ACB45B-26CC-4847-A646-3C5F31823FBD}"/>
    <cellStyle name="Millares 9 3 2 2 2" xfId="1705" xr:uid="{28105B3B-679E-4343-AB7B-5E632767B961}"/>
    <cellStyle name="Millares 9 3 2 3" xfId="1259" xr:uid="{37C93733-027C-4EF8-A1D3-287313E9B6FB}"/>
    <cellStyle name="Millares 9 3 3" xfId="585" xr:uid="{88620D8E-55EC-47F6-A9A3-415BCF7493F8}"/>
    <cellStyle name="Millares 9 3 3 2" xfId="1482" xr:uid="{1BDE0385-1E50-4E89-9D1A-54BF7BC50B52}"/>
    <cellStyle name="Millares 9 3 4" xfId="1036" xr:uid="{601F0AE0-8DA0-4723-89DA-567D34D66AEB}"/>
    <cellStyle name="Millares 9 4" xfId="216" xr:uid="{02BE67DD-67DF-4719-B469-FA132FECC560}"/>
    <cellStyle name="Millares 9 5" xfId="271" xr:uid="{8CAA5922-8B0B-4224-B751-FB28334B6711}"/>
    <cellStyle name="Millares 9 5 2" xfId="721" xr:uid="{213338B5-3DC1-4620-B1AF-4C3D8C5735E8}"/>
    <cellStyle name="Millares 9 5 2 2" xfId="1618" xr:uid="{545724F6-D4A8-403B-B4EB-3219CC251EFB}"/>
    <cellStyle name="Millares 9 5 3" xfId="1172" xr:uid="{16035053-9261-44DA-898C-E0CC5FE169B4}"/>
    <cellStyle name="Millares 9 6" xfId="497" xr:uid="{D747F1A9-AB79-4498-8752-54273F553E7E}"/>
    <cellStyle name="Millares 9 6 2" xfId="1395" xr:uid="{3727C4B5-3358-4D04-B045-2637238E57A6}"/>
    <cellStyle name="Millares 9 7" xfId="948" xr:uid="{BE800462-6BFF-400D-BE55-683187E40853}"/>
    <cellStyle name="Neutral" xfId="14" builtinId="28" customBuiltin="1"/>
    <cellStyle name="Neutral 2" xfId="15" xr:uid="{00000000-0005-0000-0000-00000E000000}"/>
    <cellStyle name="Neutral 3" xfId="16" xr:uid="{00000000-0005-0000-0000-00000F000000}"/>
    <cellStyle name="Neutral 4" xfId="17" xr:uid="{00000000-0005-0000-0000-000010000000}"/>
    <cellStyle name="Neutral 5" xfId="51" xr:uid="{D50E872E-0A51-45F8-8951-AE33D4734264}"/>
    <cellStyle name="Neutral 6" xfId="127" xr:uid="{F416B69E-0283-46C3-8B75-0600DDB5CFC4}"/>
    <cellStyle name="Neutral 7" xfId="492" xr:uid="{3BA8BC61-B0CA-4EBE-A85C-161D18717C8B}"/>
    <cellStyle name="Neutral 8" xfId="943" xr:uid="{C8691E81-E8AD-4315-8EB7-229A81DB980D}"/>
    <cellStyle name="Normal" xfId="0" builtinId="0"/>
    <cellStyle name="Normal 10" xfId="34" xr:uid="{E04F89B1-EF61-4914-BE1D-A1E329EE39E7}"/>
    <cellStyle name="Normal 10 2" xfId="55" xr:uid="{31BCE0C6-972A-4667-9990-B6DD85AF5F9E}"/>
    <cellStyle name="Normal 10 2 2" xfId="149" xr:uid="{8C3FA9D2-C91A-4A1B-A942-1CF014C0AC54}"/>
    <cellStyle name="Normal 10 2 2 2" xfId="374" xr:uid="{5088ED76-B81D-4789-82A8-D0D633C030AF}"/>
    <cellStyle name="Normal 10 2 2 2 2" xfId="824" xr:uid="{9CD9B5F2-81E1-47F0-AB27-9BF6713D7EA3}"/>
    <cellStyle name="Normal 10 2 2 2 2 2" xfId="1721" xr:uid="{3BF9E92B-7454-4C80-A107-B0B8369F1DCE}"/>
    <cellStyle name="Normal 10 2 2 2 3" xfId="1275" xr:uid="{5E4F5677-DFB7-49EC-B82A-4C579A0790B4}"/>
    <cellStyle name="Normal 10 2 2 3" xfId="601" xr:uid="{47635E4C-C7DB-4598-BE66-2787AE9204F6}"/>
    <cellStyle name="Normal 10 2 2 3 2" xfId="1498" xr:uid="{F552BAE8-B322-45FF-8CC7-F85962CE1644}"/>
    <cellStyle name="Normal 10 2 2 4" xfId="1052" xr:uid="{F1D45A5F-ADDE-4981-BF6D-ECC59C979BD9}"/>
    <cellStyle name="Normal 10 2 3" xfId="287" xr:uid="{5B17BF70-3DAE-423F-BBD6-957440D8CD12}"/>
    <cellStyle name="Normal 10 2 3 2" xfId="737" xr:uid="{8B048F51-E45D-44E5-A76A-9B995B7F5531}"/>
    <cellStyle name="Normal 10 2 3 2 2" xfId="1634" xr:uid="{0606BFBF-EEC1-4EB3-8E15-3D49F24012CF}"/>
    <cellStyle name="Normal 10 2 3 3" xfId="1188" xr:uid="{95EBF0EB-7B21-413D-A6FB-E89F96E317ED}"/>
    <cellStyle name="Normal 10 2 4" xfId="514" xr:uid="{2EDFF0F2-5206-4ADF-A956-FD0F07912E00}"/>
    <cellStyle name="Normal 10 2 4 2" xfId="1411" xr:uid="{69FBE7DF-0EB6-4E74-8AC0-4C425AEB4216}"/>
    <cellStyle name="Normal 10 2 5" xfId="965" xr:uid="{F64917F1-9BB0-419E-9304-049429EC7DCD}"/>
    <cellStyle name="Normal 10 3" xfId="131" xr:uid="{C841890C-5670-41B5-887E-36829305194F}"/>
    <cellStyle name="Normal 10 3 2" xfId="357" xr:uid="{8E6F4636-2C12-49B6-B6C5-2D862DEA1CFF}"/>
    <cellStyle name="Normal 10 3 2 2" xfId="807" xr:uid="{22B7DAE6-CE33-4B67-B3AB-BF17CFCBC580}"/>
    <cellStyle name="Normal 10 3 2 2 2" xfId="1704" xr:uid="{5A7192FC-6695-457B-9D09-3A41765564C0}"/>
    <cellStyle name="Normal 10 3 2 3" xfId="1258" xr:uid="{2BF496C8-A460-4D3A-B169-3D4D96272A63}"/>
    <cellStyle name="Normal 10 3 3" xfId="584" xr:uid="{5FA2923B-DD77-4D1F-953E-D7EBF473ACA5}"/>
    <cellStyle name="Normal 10 3 3 2" xfId="1481" xr:uid="{A19737B1-600A-4ED2-B543-2BF00A941725}"/>
    <cellStyle name="Normal 10 3 4" xfId="1035" xr:uid="{E16A397C-9C32-4330-BDF4-6CA2CB2CC957}"/>
    <cellStyle name="Normal 10 4" xfId="215" xr:uid="{C5AD5E60-8807-49DE-AA9D-51BCB3CCB1B8}"/>
    <cellStyle name="Normal 10 5" xfId="270" xr:uid="{F94C5534-9224-4958-B560-272F027E66E0}"/>
    <cellStyle name="Normal 10 5 2" xfId="720" xr:uid="{2A65C65B-4BB1-4095-BB89-CB336EF1FB2F}"/>
    <cellStyle name="Normal 10 5 2 2" xfId="1617" xr:uid="{9EEC9A58-5293-45C5-B18B-73B73200F908}"/>
    <cellStyle name="Normal 10 5 3" xfId="1171" xr:uid="{584C43AE-A779-45B4-926A-DF08957EDE79}"/>
    <cellStyle name="Normal 10 6" xfId="496" xr:uid="{0D1A1AD3-F026-4106-9C00-DB1647A4ACF8}"/>
    <cellStyle name="Normal 10 6 2" xfId="1394" xr:uid="{FFC2011A-C502-4DFD-8118-A8814C866439}"/>
    <cellStyle name="Normal 10 7" xfId="947" xr:uid="{6991D656-B3B7-4214-B009-F13279F19E89}"/>
    <cellStyle name="Normal 11" xfId="36" xr:uid="{EDB1C418-3321-4737-AC24-AF2AE5DB851E}"/>
    <cellStyle name="Normal 11 2" xfId="57" xr:uid="{ABF60EF6-76F1-4CE3-920E-B0175DBB6D30}"/>
    <cellStyle name="Normal 11 2 2" xfId="151" xr:uid="{8B4E2DCC-09EA-4311-9D4B-9CF42CA8EDDF}"/>
    <cellStyle name="Normal 11 2 2 2" xfId="376" xr:uid="{068E825C-0370-4AA5-AD91-7DFF69CC01A9}"/>
    <cellStyle name="Normal 11 2 2 2 2" xfId="826" xr:uid="{CA2E2443-C638-4115-B58E-202C9378C708}"/>
    <cellStyle name="Normal 11 2 2 2 2 2" xfId="1723" xr:uid="{01625230-985F-43F9-9D0D-616AEDDCBFC4}"/>
    <cellStyle name="Normal 11 2 2 2 3" xfId="1277" xr:uid="{69F66D77-AED1-4842-9794-296EFD7F149A}"/>
    <cellStyle name="Normal 11 2 2 3" xfId="603" xr:uid="{033A07CD-1766-4580-BE2D-5552B11D3FFD}"/>
    <cellStyle name="Normal 11 2 2 3 2" xfId="1500" xr:uid="{A3F87812-73EF-488E-8B05-5A81D2CBCE24}"/>
    <cellStyle name="Normal 11 2 2 4" xfId="1054" xr:uid="{94649267-D8AC-45BD-B25D-A756860FE86D}"/>
    <cellStyle name="Normal 11 2 3" xfId="289" xr:uid="{3FF6AA71-74E7-466B-89BE-859C99D43100}"/>
    <cellStyle name="Normal 11 2 3 2" xfId="739" xr:uid="{5049CBC9-94C1-4A8C-A2E7-F58FF9EC646E}"/>
    <cellStyle name="Normal 11 2 3 2 2" xfId="1636" xr:uid="{6441AEB0-03C0-47FE-959F-ED72D38C5236}"/>
    <cellStyle name="Normal 11 2 3 3" xfId="1190" xr:uid="{DB3792E7-0486-4E6E-8021-051B52F3E26C}"/>
    <cellStyle name="Normal 11 2 4" xfId="516" xr:uid="{F1510240-97C9-4502-A97A-017BF78935E6}"/>
    <cellStyle name="Normal 11 2 4 2" xfId="1413" xr:uid="{19F03AA7-3BEE-4F90-87CE-873FBA805231}"/>
    <cellStyle name="Normal 11 2 5" xfId="967" xr:uid="{CD16D680-377A-4ADD-A70E-6B60C8FCFC9A}"/>
    <cellStyle name="Normal 11 3" xfId="133" xr:uid="{0252620A-8759-4134-905D-03E34C484A4B}"/>
    <cellStyle name="Normal 11 3 2" xfId="359" xr:uid="{0F060638-1211-4D03-A7E0-D92B8D2E25DF}"/>
    <cellStyle name="Normal 11 3 2 2" xfId="809" xr:uid="{D25C7DF0-1950-457D-A499-F1E0CAA85E13}"/>
    <cellStyle name="Normal 11 3 2 2 2" xfId="1706" xr:uid="{DF8D2310-044B-4DFB-8C20-3040FE4C6C6A}"/>
    <cellStyle name="Normal 11 3 2 3" xfId="1260" xr:uid="{02E57167-FC86-42A9-A69C-D72B0883EA53}"/>
    <cellStyle name="Normal 11 3 3" xfId="586" xr:uid="{9359EF1E-854F-4E8A-B71E-66558B20C418}"/>
    <cellStyle name="Normal 11 3 3 2" xfId="1483" xr:uid="{AF795D34-D1E8-4F0B-9ED4-0709CCE7054A}"/>
    <cellStyle name="Normal 11 3 4" xfId="1037" xr:uid="{A8135DD7-FF7F-4CC1-896E-C61F90DAEA18}"/>
    <cellStyle name="Normal 11 4" xfId="272" xr:uid="{07101EFD-8CDF-40C0-868C-AA1D9D1924F9}"/>
    <cellStyle name="Normal 11 4 2" xfId="722" xr:uid="{43FECFC2-CB43-497A-A1E9-1D652A3AA625}"/>
    <cellStyle name="Normal 11 4 2 2" xfId="1619" xr:uid="{311ED188-2FC5-41E5-B2EF-BA855CDD0E06}"/>
    <cellStyle name="Normal 11 4 3" xfId="1173" xr:uid="{CB5B3861-A6DB-47A3-B8E1-9E41B6C2C0AC}"/>
    <cellStyle name="Normal 11 5" xfId="498" xr:uid="{5C5B16EB-2FB5-4448-BD51-15FFBC06AA9F}"/>
    <cellStyle name="Normal 11 5 2" xfId="1396" xr:uid="{343F68D2-28AD-447F-8B19-A5941C474980}"/>
    <cellStyle name="Normal 11 6" xfId="949" xr:uid="{0CE94BE8-0BCC-41DD-ABB8-6BB2A6B04A4C}"/>
    <cellStyle name="Normal 12" xfId="38" xr:uid="{6474D8C7-2DE9-49EB-82E3-C4D36D311CBE}"/>
    <cellStyle name="Normal 12 2" xfId="59" xr:uid="{B39D459C-660D-4F5A-9CCF-1B574A7D9334}"/>
    <cellStyle name="Normal 12 2 2" xfId="153" xr:uid="{84F74D6A-A1B8-4FAB-83EE-3B460777FFC5}"/>
    <cellStyle name="Normal 12 2 2 2" xfId="378" xr:uid="{B8959911-D366-48E6-A9AB-41F4A6A6DF58}"/>
    <cellStyle name="Normal 12 2 2 2 2" xfId="828" xr:uid="{2ED4E6F5-A7B9-4905-AAC9-888110686AA4}"/>
    <cellStyle name="Normal 12 2 2 2 2 2" xfId="1725" xr:uid="{7368C265-01B1-4AC8-A698-381E8494654E}"/>
    <cellStyle name="Normal 12 2 2 2 3" xfId="1279" xr:uid="{DC305946-DFE2-4ECA-B826-84EFD62A8672}"/>
    <cellStyle name="Normal 12 2 2 3" xfId="605" xr:uid="{16EFA7A8-54B7-42AA-81EF-EA3B7517D785}"/>
    <cellStyle name="Normal 12 2 2 3 2" xfId="1502" xr:uid="{5DA23116-8C9C-4E51-9B86-13DAD2EAF19D}"/>
    <cellStyle name="Normal 12 2 2 4" xfId="1056" xr:uid="{7A51FFE0-809F-4701-AE5D-95209EB66432}"/>
    <cellStyle name="Normal 12 2 3" xfId="291" xr:uid="{7069AAE1-022E-466E-B987-3BA6BD26287A}"/>
    <cellStyle name="Normal 12 2 3 2" xfId="741" xr:uid="{AD09C6FE-2835-4542-9365-F2410A0E7907}"/>
    <cellStyle name="Normal 12 2 3 2 2" xfId="1638" xr:uid="{DD367598-C633-46A7-8884-33C769DF25F2}"/>
    <cellStyle name="Normal 12 2 3 3" xfId="1192" xr:uid="{1E80C42A-2920-4D10-8BF7-FA088FC41559}"/>
    <cellStyle name="Normal 12 2 4" xfId="518" xr:uid="{4F08BEF9-463C-40B3-826F-44DA741A8331}"/>
    <cellStyle name="Normal 12 2 4 2" xfId="1415" xr:uid="{53E3A2EB-6DCD-40F0-8903-CA6BF9EA0E7B}"/>
    <cellStyle name="Normal 12 2 5" xfId="969" xr:uid="{928BD451-6ECE-4E99-A0B4-3C1AF38B75CD}"/>
    <cellStyle name="Normal 12 3" xfId="135" xr:uid="{46ACFF06-3EB9-4367-857C-4F24505FAD5F}"/>
    <cellStyle name="Normal 12 3 2" xfId="361" xr:uid="{9DCB251C-897F-42C8-A22B-F817125E61DE}"/>
    <cellStyle name="Normal 12 3 2 2" xfId="811" xr:uid="{DEFFB7EE-2D23-493B-A2B7-6BF6E53CB629}"/>
    <cellStyle name="Normal 12 3 2 2 2" xfId="1708" xr:uid="{DCAAEB35-42E8-4497-B231-9361279265AB}"/>
    <cellStyle name="Normal 12 3 2 3" xfId="1262" xr:uid="{B950BB6C-5D72-4D55-8695-2E7AACD62C93}"/>
    <cellStyle name="Normal 12 3 3" xfId="588" xr:uid="{1FA2CBEB-FC6D-46EA-A46F-0EE12CD9B1C9}"/>
    <cellStyle name="Normal 12 3 3 2" xfId="1485" xr:uid="{1DB0C852-5AAF-4FB6-8088-E28F010DCF75}"/>
    <cellStyle name="Normal 12 3 4" xfId="1039" xr:uid="{95B407D6-7574-49A2-984F-EA89DEA07BA0}"/>
    <cellStyle name="Normal 12 4" xfId="274" xr:uid="{EB850585-119C-4144-9558-A280A03B8B59}"/>
    <cellStyle name="Normal 12 4 2" xfId="724" xr:uid="{335E3EDD-A5BC-466F-B5F6-A250185B7AA3}"/>
    <cellStyle name="Normal 12 4 2 2" xfId="1621" xr:uid="{1C0E8EB7-363F-445E-BE0B-CB05194806FF}"/>
    <cellStyle name="Normal 12 4 3" xfId="1175" xr:uid="{F6CABAA6-F036-4DEB-85BE-DC76BBE4144E}"/>
    <cellStyle name="Normal 12 5" xfId="500" xr:uid="{6F6FB466-373B-4D91-920D-A313B8A2D2A3}"/>
    <cellStyle name="Normal 12 5 2" xfId="1398" xr:uid="{D09EC759-1F92-42DA-8D3D-2BFEF0523CA0}"/>
    <cellStyle name="Normal 12 6" xfId="951" xr:uid="{9B8FF1BA-647F-4E4C-84B0-F579D8D8C5EB}"/>
    <cellStyle name="Normal 13" xfId="40" xr:uid="{1E46AC84-C99B-4EA2-A02F-EF8081FE2A6C}"/>
    <cellStyle name="Normal 13 2" xfId="61" xr:uid="{980C3498-99E5-4F3F-B153-D8B4E7EAE751}"/>
    <cellStyle name="Normal 13 2 2" xfId="155" xr:uid="{FFAB2655-9353-4753-9CD4-80F34790BA0B}"/>
    <cellStyle name="Normal 13 2 2 2" xfId="380" xr:uid="{7BA171BB-27CB-437A-A30F-E697C4EEA82C}"/>
    <cellStyle name="Normal 13 2 2 2 2" xfId="830" xr:uid="{78EC95F2-5083-4191-9A32-B77240249266}"/>
    <cellStyle name="Normal 13 2 2 2 2 2" xfId="1727" xr:uid="{04E86458-5735-406F-85AB-82EADE7F92D3}"/>
    <cellStyle name="Normal 13 2 2 2 3" xfId="1281" xr:uid="{7FA44C01-C2AD-46BA-8279-447C2716C92D}"/>
    <cellStyle name="Normal 13 2 2 3" xfId="607" xr:uid="{F57B6379-A057-4F88-BBBD-7B377080D3AB}"/>
    <cellStyle name="Normal 13 2 2 3 2" xfId="1504" xr:uid="{2410B4A7-4697-4661-8595-A4943E484430}"/>
    <cellStyle name="Normal 13 2 2 4" xfId="1058" xr:uid="{5B32DF3B-360F-46F0-84F0-A741B4D68217}"/>
    <cellStyle name="Normal 13 2 3" xfId="293" xr:uid="{05266B7C-D2E9-4C10-9C8B-4A8D5E927261}"/>
    <cellStyle name="Normal 13 2 3 2" xfId="743" xr:uid="{4C37A17B-BD3E-4A0D-92D0-8AD49C3C15FC}"/>
    <cellStyle name="Normal 13 2 3 2 2" xfId="1640" xr:uid="{B532608E-95E0-4714-97B7-01EE2F4A4FF3}"/>
    <cellStyle name="Normal 13 2 3 3" xfId="1194" xr:uid="{D95ACB40-564C-4108-A667-6191E065E36D}"/>
    <cellStyle name="Normal 13 2 4" xfId="520" xr:uid="{CA231A8E-BC8A-4B25-9446-8BD1210362C3}"/>
    <cellStyle name="Normal 13 2 4 2" xfId="1417" xr:uid="{37088AE2-A1D4-466A-87BF-5A3E8A494C3E}"/>
    <cellStyle name="Normal 13 2 5" xfId="971" xr:uid="{00F109D6-3098-418B-B7F2-72A5A933C1F4}"/>
    <cellStyle name="Normal 13 3" xfId="137" xr:uid="{93C40290-4F7C-4469-A46E-9DC18E01351C}"/>
    <cellStyle name="Normal 13 3 2" xfId="363" xr:uid="{BABBA5D8-8072-4767-9EBD-97CF8CB35659}"/>
    <cellStyle name="Normal 13 3 2 2" xfId="813" xr:uid="{46B71229-48DC-4A84-B274-C86D32BF1182}"/>
    <cellStyle name="Normal 13 3 2 2 2" xfId="1710" xr:uid="{32541C42-2020-4D8F-93D6-FC693918D114}"/>
    <cellStyle name="Normal 13 3 2 3" xfId="1264" xr:uid="{CCBD5D3F-D545-4914-8A35-7FE9495049CB}"/>
    <cellStyle name="Normal 13 3 3" xfId="590" xr:uid="{301660A8-41B4-438E-8DAC-77EA6CC667B1}"/>
    <cellStyle name="Normal 13 3 3 2" xfId="1487" xr:uid="{7D0D6A6F-DC3C-4988-949B-29ABC604FCA9}"/>
    <cellStyle name="Normal 13 3 4" xfId="1041" xr:uid="{E93C3EEA-BB80-419E-8731-A37C2FBE9B9A}"/>
    <cellStyle name="Normal 13 4" xfId="276" xr:uid="{B1E36859-DF54-4B4D-8C85-DB9D4299FDEF}"/>
    <cellStyle name="Normal 13 4 2" xfId="726" xr:uid="{EB4B0AF1-3E09-46E5-B8B9-BCE351C001AE}"/>
    <cellStyle name="Normal 13 4 2 2" xfId="1623" xr:uid="{3FC625A8-8EFD-4869-97A7-EC02A74022AE}"/>
    <cellStyle name="Normal 13 4 3" xfId="1177" xr:uid="{F8D68279-6DEA-4486-9A92-988C90515B74}"/>
    <cellStyle name="Normal 13 5" xfId="502" xr:uid="{2D282024-8900-448E-9BD2-8E4D1AF5A546}"/>
    <cellStyle name="Normal 13 5 2" xfId="1400" xr:uid="{2474B72B-EB28-4EB2-9140-7555BA765B5A}"/>
    <cellStyle name="Normal 13 6" xfId="953" xr:uid="{415BA909-1806-4BFF-A205-6C4C03F2DC3A}"/>
    <cellStyle name="Normal 14" xfId="42" xr:uid="{0CFDF507-0FDD-48B5-BC4C-838E0110546E}"/>
    <cellStyle name="Normal 14 2" xfId="63" xr:uid="{18FC5DC5-5304-4BA6-A817-CB2AA992D259}"/>
    <cellStyle name="Normal 14 2 2" xfId="157" xr:uid="{B4DAE556-D7F7-4C78-82C9-738A8BB01013}"/>
    <cellStyle name="Normal 14 2 2 2" xfId="382" xr:uid="{C0339F27-338E-4B1B-A1C8-84D4C0CADCFA}"/>
    <cellStyle name="Normal 14 2 2 2 2" xfId="832" xr:uid="{E9207F92-CAD0-4FF3-A204-DC02FB45D14C}"/>
    <cellStyle name="Normal 14 2 2 2 2 2" xfId="1729" xr:uid="{E4FBF5C2-E5F1-4A98-86C0-7D2186F7594A}"/>
    <cellStyle name="Normal 14 2 2 2 3" xfId="1283" xr:uid="{CA4B4BBA-5EF3-406C-91D2-459296F3A265}"/>
    <cellStyle name="Normal 14 2 2 3" xfId="609" xr:uid="{EF52258B-1B30-4F28-AE50-7ED5AD7A126C}"/>
    <cellStyle name="Normal 14 2 2 3 2" xfId="1506" xr:uid="{7B10696C-93B2-420B-9180-77F3B63B0AC7}"/>
    <cellStyle name="Normal 14 2 2 4" xfId="1060" xr:uid="{BC90EE77-61AF-4622-9BB4-35F5C6EE66E5}"/>
    <cellStyle name="Normal 14 2 3" xfId="295" xr:uid="{C9FCAFBF-05F7-41AB-9775-944E89BF9100}"/>
    <cellStyle name="Normal 14 2 3 2" xfId="745" xr:uid="{C5680B27-A60C-46EC-9B93-457960FE3FE4}"/>
    <cellStyle name="Normal 14 2 3 2 2" xfId="1642" xr:uid="{563C4065-351F-4170-A480-16F4261FBD69}"/>
    <cellStyle name="Normal 14 2 3 3" xfId="1196" xr:uid="{8C884169-FF36-450F-A5A2-667A87D5BAEB}"/>
    <cellStyle name="Normal 14 2 4" xfId="522" xr:uid="{DA0CA4ED-3890-4450-9878-3B0C205982B2}"/>
    <cellStyle name="Normal 14 2 4 2" xfId="1419" xr:uid="{47EDB537-97FE-47EB-8CC9-BDD06B5D7029}"/>
    <cellStyle name="Normal 14 2 5" xfId="973" xr:uid="{F464DF07-0B3E-4EDE-B9EC-C86081BC5201}"/>
    <cellStyle name="Normal 14 3" xfId="139" xr:uid="{43A2D6AC-91A3-4AA1-A558-7A9857B0C9E9}"/>
    <cellStyle name="Normal 14 3 2" xfId="365" xr:uid="{8BF69938-3240-4E44-8EAC-F4547325BE35}"/>
    <cellStyle name="Normal 14 3 2 2" xfId="815" xr:uid="{C7BD7009-A90E-430D-B0A7-E404B1505068}"/>
    <cellStyle name="Normal 14 3 2 2 2" xfId="1712" xr:uid="{F9157022-4F0A-4773-83E7-1909FC0A7AA4}"/>
    <cellStyle name="Normal 14 3 2 3" xfId="1266" xr:uid="{B0320B2A-B864-4127-98E1-4C7249BABE49}"/>
    <cellStyle name="Normal 14 3 3" xfId="592" xr:uid="{B7B619E8-6558-410D-ADE3-DAC3DF0DD1CC}"/>
    <cellStyle name="Normal 14 3 3 2" xfId="1489" xr:uid="{3B17F7FF-B426-4487-8BB3-258AC9CA1F26}"/>
    <cellStyle name="Normal 14 3 4" xfId="1043" xr:uid="{B1B9F486-8ADB-49B5-80E4-B9F978A30F81}"/>
    <cellStyle name="Normal 14 4" xfId="278" xr:uid="{0847DDA8-AE81-4301-AB45-758548F62545}"/>
    <cellStyle name="Normal 14 4 2" xfId="728" xr:uid="{E7BDC105-9BB9-4F8D-A406-454A9A8EA400}"/>
    <cellStyle name="Normal 14 4 2 2" xfId="1625" xr:uid="{7D02FC39-D0AC-410A-8BCB-D0322A9A0D51}"/>
    <cellStyle name="Normal 14 4 3" xfId="1179" xr:uid="{D8B1C872-C946-463C-BE49-F43E890BE77F}"/>
    <cellStyle name="Normal 14 5" xfId="504" xr:uid="{3F797484-65E3-44CA-B9F7-E52AF73B0E64}"/>
    <cellStyle name="Normal 14 5 2" xfId="1402" xr:uid="{A63AD5CF-5C7F-4143-BBDD-0BA3BA25EE9F}"/>
    <cellStyle name="Normal 14 6" xfId="955" xr:uid="{5283D49B-6855-436A-8E66-7080D2132E9A}"/>
    <cellStyle name="Normal 15" xfId="44" xr:uid="{A0636C0B-2857-4AAB-A8CE-C0860B85E462}"/>
    <cellStyle name="Normal 15 2" xfId="141" xr:uid="{BA0E7371-F158-423A-9A00-99148BBBAF12}"/>
    <cellStyle name="Normal 15 2 2" xfId="366" xr:uid="{79766D68-CB76-4206-9709-B18283724AEA}"/>
    <cellStyle name="Normal 15 2 2 2" xfId="816" xr:uid="{8FCCF492-81BA-4287-A189-6087A949ABAD}"/>
    <cellStyle name="Normal 15 2 2 2 2" xfId="1713" xr:uid="{101EB04F-C41C-4D43-A8D0-74A73DFADDD8}"/>
    <cellStyle name="Normal 15 2 2 3" xfId="1267" xr:uid="{257019DB-E42E-4252-8490-3C4362EDFF85}"/>
    <cellStyle name="Normal 15 2 3" xfId="593" xr:uid="{3E8BB8E8-E057-4C1C-AFC5-AE863E5C5DBA}"/>
    <cellStyle name="Normal 15 2 3 2" xfId="1490" xr:uid="{DA65B492-9CF8-4A47-92E3-D088011BEEED}"/>
    <cellStyle name="Normal 15 2 4" xfId="1044" xr:uid="{203B8DAD-F282-47EE-94D7-FFBA40FC72E1}"/>
    <cellStyle name="Normal 15 3" xfId="279" xr:uid="{C04B1E4C-9BD9-4EAE-ADEB-071AB9DA0CF7}"/>
    <cellStyle name="Normal 15 3 2" xfId="729" xr:uid="{A932199A-9E59-4AB5-8D57-3E6FE00D63B3}"/>
    <cellStyle name="Normal 15 3 2 2" xfId="1626" xr:uid="{114EF73D-AA82-4487-92FC-3FC9F81B37D9}"/>
    <cellStyle name="Normal 15 3 3" xfId="1180" xr:uid="{A2E2D53B-D782-4F0D-8EFC-3A74103CE13C}"/>
    <cellStyle name="Normal 15 4" xfId="506" xr:uid="{3AD87A93-AEDA-49BF-B7C0-EE791729082B}"/>
    <cellStyle name="Normal 15 4 2" xfId="1403" xr:uid="{DB93098F-20C8-47AC-A249-A0406A010E01}"/>
    <cellStyle name="Normal 15 5" xfId="957" xr:uid="{B1652466-CB3C-4BA5-B040-3EAF87C2D219}"/>
    <cellStyle name="Normal 16" xfId="46" xr:uid="{1F52BDE2-3493-4F96-BBE2-BE15ECA121ED}"/>
    <cellStyle name="Normal 17" xfId="65" xr:uid="{38455323-2778-4DD5-B70E-091ABDBA667A}"/>
    <cellStyle name="Normal 17 2" xfId="158" xr:uid="{BB4E60C7-FC61-46FB-9C5D-FD70AC235F89}"/>
    <cellStyle name="Normal 17 2 2" xfId="383" xr:uid="{FAECF1D3-6B91-4680-9016-5EE99786ED3C}"/>
    <cellStyle name="Normal 17 2 2 2" xfId="833" xr:uid="{6ABCD1FD-12E8-45D6-B0B3-1FBD2F6C89BC}"/>
    <cellStyle name="Normal 17 2 2 2 2" xfId="1730" xr:uid="{23435498-8FE5-43E8-B03D-18657D8F3340}"/>
    <cellStyle name="Normal 17 2 2 3" xfId="1284" xr:uid="{B05F95D8-CF70-487D-ACE0-A3982D3A2E52}"/>
    <cellStyle name="Normal 17 2 3" xfId="610" xr:uid="{86CFDDFA-CB85-410B-AFF2-E9F69927AF33}"/>
    <cellStyle name="Normal 17 2 3 2" xfId="1507" xr:uid="{05A55C49-9980-47BF-B774-0C0258E94D2C}"/>
    <cellStyle name="Normal 17 2 4" xfId="1061" xr:uid="{086B0FFA-A277-4338-8216-DED6061EAAC9}"/>
    <cellStyle name="Normal 17 3" xfId="296" xr:uid="{011710E5-C442-4945-94F0-C2D950E0B3C5}"/>
    <cellStyle name="Normal 17 3 2" xfId="746" xr:uid="{ACD6C818-4A68-42B9-B0A6-56A90D6ECC8F}"/>
    <cellStyle name="Normal 17 3 2 2" xfId="1643" xr:uid="{33B933A0-8D3D-4EAA-AC4C-308335BE7433}"/>
    <cellStyle name="Normal 17 3 3" xfId="1197" xr:uid="{7BC952C5-6CAC-4184-86A8-01FBE2F0FC05}"/>
    <cellStyle name="Normal 17 4" xfId="523" xr:uid="{13741125-DB4A-4429-9CDB-200BCEA8D57D}"/>
    <cellStyle name="Normal 17 4 2" xfId="1420" xr:uid="{1AAEC826-CD15-4E5D-9ACA-F10959F25E38}"/>
    <cellStyle name="Normal 17 5" xfId="974" xr:uid="{D7357C8C-8298-4AD4-8F4D-811EA91787BB}"/>
    <cellStyle name="Normal 18" xfId="67" xr:uid="{A3D0F39C-7CD5-43D5-AE02-F71CBA12128D}"/>
    <cellStyle name="Normal 18 2" xfId="160" xr:uid="{E8F2B643-DC0D-4B0F-A1A3-898E392B8982}"/>
    <cellStyle name="Normal 18 2 2" xfId="385" xr:uid="{49C993E3-2ABC-43C9-9873-3CB22B128EE5}"/>
    <cellStyle name="Normal 18 2 2 2" xfId="835" xr:uid="{995F7318-2EF2-4A76-88F7-5F58B6472696}"/>
    <cellStyle name="Normal 18 2 2 2 2" xfId="1732" xr:uid="{1143ADD0-259A-4F01-B28F-4083F5AEF11B}"/>
    <cellStyle name="Normal 18 2 2 3" xfId="1286" xr:uid="{7D7616C3-5BED-420B-824B-49D2063F0D8D}"/>
    <cellStyle name="Normal 18 2 3" xfId="612" xr:uid="{42869676-09BD-467A-A69F-A3F50EE520F8}"/>
    <cellStyle name="Normal 18 2 3 2" xfId="1509" xr:uid="{0FAE7390-2FCC-42EB-A1FD-7727088956ED}"/>
    <cellStyle name="Normal 18 2 4" xfId="1063" xr:uid="{E524CF1C-A088-4AB1-905B-C8F02288EDF5}"/>
    <cellStyle name="Normal 18 3" xfId="298" xr:uid="{CEB26056-E39E-48D8-BB10-D35BD9488374}"/>
    <cellStyle name="Normal 18 3 2" xfId="748" xr:uid="{80DA89FB-4D04-4060-BFE5-5410DD314866}"/>
    <cellStyle name="Normal 18 3 2 2" xfId="1645" xr:uid="{0811DC2E-D337-4907-BE23-7807356A85BF}"/>
    <cellStyle name="Normal 18 3 3" xfId="1199" xr:uid="{A19083DA-8C8F-41BA-928D-542127DA903F}"/>
    <cellStyle name="Normal 18 4" xfId="525" xr:uid="{A40819F4-A6FC-4D9D-9D06-C837875B81A5}"/>
    <cellStyle name="Normal 18 4 2" xfId="1422" xr:uid="{64E17CC0-A892-4870-B73E-0AC5A4D9FA41}"/>
    <cellStyle name="Normal 18 5" xfId="976" xr:uid="{512EDC55-7E1F-4F1D-A5BA-38EDEDA87EFC}"/>
    <cellStyle name="Normal 19" xfId="68" xr:uid="{722C0F25-6439-46AA-8C11-7AAC6575BF45}"/>
    <cellStyle name="Normal 19 2" xfId="161" xr:uid="{9F90EEB8-4FFA-42D9-945B-894D5018B6BE}"/>
    <cellStyle name="Normal 19 2 2" xfId="386" xr:uid="{56791305-4A55-4124-81A9-A5B14888ABAE}"/>
    <cellStyle name="Normal 19 2 2 2" xfId="836" xr:uid="{2EE5955C-9805-471C-8DE1-106EAB49FB97}"/>
    <cellStyle name="Normal 19 2 2 2 2" xfId="1733" xr:uid="{0E6DC462-9033-4207-A787-A292D8DAA32D}"/>
    <cellStyle name="Normal 19 2 2 3" xfId="1287" xr:uid="{F2AD5A31-C3F2-4081-9B5A-EAD400C85E94}"/>
    <cellStyle name="Normal 19 2 3" xfId="613" xr:uid="{46863A54-7115-487C-845F-069272527BA2}"/>
    <cellStyle name="Normal 19 2 3 2" xfId="1510" xr:uid="{D43A51C5-5A1D-442B-8935-777DABA47D1E}"/>
    <cellStyle name="Normal 19 2 4" xfId="1064" xr:uid="{8CDEAD7F-EE4E-477E-975D-53A2104113C8}"/>
    <cellStyle name="Normal 19 3" xfId="299" xr:uid="{07F47D07-7BD6-4644-9B5F-D3BF867EFAC7}"/>
    <cellStyle name="Normal 19 3 2" xfId="749" xr:uid="{1A38F341-1AC5-46BC-966C-8540231B2E9F}"/>
    <cellStyle name="Normal 19 3 2 2" xfId="1646" xr:uid="{D71570F9-2A9A-458A-9024-A6677B0E3251}"/>
    <cellStyle name="Normal 19 3 3" xfId="1200" xr:uid="{10D70276-176F-46E5-A83A-9817270F98E2}"/>
    <cellStyle name="Normal 19 4" xfId="526" xr:uid="{265401B3-90AD-49DF-973F-3D8946A0CEB5}"/>
    <cellStyle name="Normal 19 4 2" xfId="1423" xr:uid="{A93700B6-DCF5-4808-A8E8-7561E3FFAAA5}"/>
    <cellStyle name="Normal 19 5" xfId="977" xr:uid="{AFB2AEDE-AA5A-4D75-8CFF-C9E45DCC303A}"/>
    <cellStyle name="Normal 2" xfId="18" xr:uid="{00000000-0005-0000-0000-000012000000}"/>
    <cellStyle name="Normal 2 10" xfId="944" xr:uid="{C35CC395-A1EB-4EB9-BECD-B71B88D1ACB6}"/>
    <cellStyle name="Normal 2 2" xfId="19" xr:uid="{00000000-0005-0000-0000-000013000000}"/>
    <cellStyle name="Normal 2 3" xfId="52" xr:uid="{25F5EF07-2880-40AF-8031-4324C2E75C6D}"/>
    <cellStyle name="Normal 2 3 2" xfId="146" xr:uid="{C297A495-53D3-4097-8323-6CE46CF8B9A6}"/>
    <cellStyle name="Normal 2 3 2 2" xfId="371" xr:uid="{AEBE4124-D01B-41BD-AECF-4D3CD76D635C}"/>
    <cellStyle name="Normal 2 3 2 2 2" xfId="821" xr:uid="{63A3F0DE-AD93-4740-AB34-3C7150B021DC}"/>
    <cellStyle name="Normal 2 3 2 2 2 2" xfId="1718" xr:uid="{DCEBFED6-133C-4981-9521-730D05E8461F}"/>
    <cellStyle name="Normal 2 3 2 2 3" xfId="1272" xr:uid="{33D413D3-9C5F-408F-A830-E89D6E485113}"/>
    <cellStyle name="Normal 2 3 2 3" xfId="598" xr:uid="{BBC2E8DC-3492-4683-8408-11C3494A6ABC}"/>
    <cellStyle name="Normal 2 3 2 3 2" xfId="1495" xr:uid="{C4549C98-2F75-453C-BDCB-2D4F8E18A5C8}"/>
    <cellStyle name="Normal 2 3 2 4" xfId="1049" xr:uid="{D696865B-BA75-456C-A4CE-76989CA5C157}"/>
    <cellStyle name="Normal 2 3 3" xfId="284" xr:uid="{DFEADF06-9C19-4610-AC4F-65460B3929B8}"/>
    <cellStyle name="Normal 2 3 3 2" xfId="734" xr:uid="{B061A5BA-989E-41A8-9C62-7D7D1F3D5088}"/>
    <cellStyle name="Normal 2 3 3 2 2" xfId="1631" xr:uid="{D070AB1D-ABF6-4022-B795-02B1655FCD5D}"/>
    <cellStyle name="Normal 2 3 3 3" xfId="1185" xr:uid="{72606AAD-79D1-4905-85FD-0485035ACD32}"/>
    <cellStyle name="Normal 2 3 4" xfId="511" xr:uid="{043C9B9A-C5AE-4386-A677-A508CF09598C}"/>
    <cellStyle name="Normal 2 3 4 2" xfId="1408" xr:uid="{B719B521-4F9F-459B-8C73-1A64B759F464}"/>
    <cellStyle name="Normal 2 3 5" xfId="962" xr:uid="{81EDD61C-200D-4AEF-90A6-296FECCF8807}"/>
    <cellStyle name="Normal 2 4" xfId="128" xr:uid="{BBFA0791-0F8B-46CA-9105-7243B9152CDC}"/>
    <cellStyle name="Normal 2 4 2" xfId="354" xr:uid="{2497B200-9807-473E-8A6E-47D3A72A3504}"/>
    <cellStyle name="Normal 2 4 2 2" xfId="804" xr:uid="{9FF81AFE-0335-447E-94DE-4C4717258C6C}"/>
    <cellStyle name="Normal 2 4 2 2 2" xfId="1701" xr:uid="{F4493ED6-CD0A-46D2-A175-F437269E399D}"/>
    <cellStyle name="Normal 2 4 2 3" xfId="1255" xr:uid="{461E3379-D1AC-4B04-AB54-F0316573D746}"/>
    <cellStyle name="Normal 2 4 3" xfId="581" xr:uid="{733CAB9C-C937-4DF6-B714-ECE7C2CA681D}"/>
    <cellStyle name="Normal 2 4 3 2" xfId="1478" xr:uid="{9568EBDA-840F-4AD9-8A17-9F7557EDF873}"/>
    <cellStyle name="Normal 2 4 4" xfId="1032" xr:uid="{6C030C91-0DD9-4A96-9003-DC6AFB6C6F2A}"/>
    <cellStyle name="Normal 2 5" xfId="219" xr:uid="{0F34F3D7-0BBA-46B4-9E1B-5F2885A27E46}"/>
    <cellStyle name="Normal 2 5 2" xfId="442" xr:uid="{F72BBF29-DA20-4B93-B0CD-51EF8A878214}"/>
    <cellStyle name="Normal 2 5 2 2" xfId="892" xr:uid="{B30FA5AF-73B5-48CD-B09F-0616A07540F1}"/>
    <cellStyle name="Normal 2 5 2 2 2" xfId="1789" xr:uid="{EAF82FB3-E464-401E-BD49-74C933C4BCD2}"/>
    <cellStyle name="Normal 2 5 2 3" xfId="1343" xr:uid="{4B1E2C1B-D4F6-40D0-A793-A1D089A32259}"/>
    <cellStyle name="Normal 2 5 3" xfId="669" xr:uid="{66B7A543-2B10-4029-8980-D8378E44A1FB}"/>
    <cellStyle name="Normal 2 5 3 2" xfId="1566" xr:uid="{DF3A4BFD-43FE-4806-B9B8-099B77096E27}"/>
    <cellStyle name="Normal 2 5 4" xfId="1120" xr:uid="{D5028476-8401-48DE-BB40-EFDF7BC9F963}"/>
    <cellStyle name="Normal 2 6" xfId="228" xr:uid="{1500CC18-DF48-4907-8E63-B082A8345953}"/>
    <cellStyle name="Normal 2 6 2" xfId="451" xr:uid="{399F892C-B00D-4EE2-A99A-8C534FCFF516}"/>
    <cellStyle name="Normal 2 6 2 2" xfId="901" xr:uid="{B71497E8-5B37-4717-AFAF-C18AE8AEFF82}"/>
    <cellStyle name="Normal 2 6 2 2 2" xfId="1798" xr:uid="{894084DB-1877-48B9-A0AE-5652B4073F35}"/>
    <cellStyle name="Normal 2 6 2 3" xfId="1352" xr:uid="{E8C66ECA-7D1E-4D07-8256-0DDE11823543}"/>
    <cellStyle name="Normal 2 6 3" xfId="678" xr:uid="{6FE67B27-0F1E-41D0-8619-19224AD22B14}"/>
    <cellStyle name="Normal 2 6 3 2" xfId="1575" xr:uid="{E9C25C29-D428-45BC-A0A4-D7F160B7B2DB}"/>
    <cellStyle name="Normal 2 6 4" xfId="1129" xr:uid="{B2BA43ED-F956-4329-A4DC-B09318B0AF17}"/>
    <cellStyle name="Normal 2 7" xfId="252" xr:uid="{49058663-2D95-4565-A75E-4FEEE1162A84}"/>
    <cellStyle name="Normal 2 7 2" xfId="475" xr:uid="{611312C3-CA2F-4CD1-B016-9A5231E468A7}"/>
    <cellStyle name="Normal 2 7 2 2" xfId="925" xr:uid="{00B03091-0BAC-4081-84D7-9880BF551E3D}"/>
    <cellStyle name="Normal 2 7 2 2 2" xfId="1822" xr:uid="{3E792A33-FD79-4F45-A3AD-301D5B6BB40D}"/>
    <cellStyle name="Normal 2 7 2 3" xfId="1376" xr:uid="{A2392B89-1494-4061-9CA4-D747A17E523E}"/>
    <cellStyle name="Normal 2 7 3" xfId="702" xr:uid="{03E21647-5D3A-4E99-95F7-97328EBD827C}"/>
    <cellStyle name="Normal 2 7 3 2" xfId="1599" xr:uid="{F1839DD5-C3DB-40E5-85B6-E5A95DE2C5E8}"/>
    <cellStyle name="Normal 2 7 4" xfId="1153" xr:uid="{D7C2C743-8090-4758-9B50-A04BAC86FD09}"/>
    <cellStyle name="Normal 2 8" xfId="267" xr:uid="{6F0CF7DB-4456-4F7B-B270-45DB6E29367B}"/>
    <cellStyle name="Normal 2 8 2" xfId="717" xr:uid="{4EA9DB21-B874-4ED8-8D68-F6A18B54F442}"/>
    <cellStyle name="Normal 2 8 2 2" xfId="1614" xr:uid="{9E25AD03-D78C-4F6E-B02B-2A849C4595B5}"/>
    <cellStyle name="Normal 2 8 3" xfId="1168" xr:uid="{81AF7E02-4896-4FC5-9C67-09ABA2E12455}"/>
    <cellStyle name="Normal 2 9" xfId="493" xr:uid="{CCF0C842-9D85-4E26-8237-B364A9FFD937}"/>
    <cellStyle name="Normal 2 9 2" xfId="1391" xr:uid="{725BE123-EDFE-46C8-A78B-55EA37EBE090}"/>
    <cellStyle name="Normal 20" xfId="69" xr:uid="{0A3EA1A7-17CE-4475-ABA9-1EC22DEC391E}"/>
    <cellStyle name="Normal 20 2" xfId="162" xr:uid="{D2EAAE7A-6DB6-4DBE-A4C7-964BE6911E02}"/>
    <cellStyle name="Normal 20 2 2" xfId="387" xr:uid="{0C4D97B0-8A7E-47A8-B23A-236A1AF58864}"/>
    <cellStyle name="Normal 20 2 2 2" xfId="837" xr:uid="{5C961CD8-0F09-45FF-AD28-9BC25E442055}"/>
    <cellStyle name="Normal 20 2 2 2 2" xfId="1734" xr:uid="{9A5392F0-C76F-494F-B1D2-39E6397E7C0E}"/>
    <cellStyle name="Normal 20 2 2 3" xfId="1288" xr:uid="{CB567F95-DD14-48BA-A1C5-61525F67CFBE}"/>
    <cellStyle name="Normal 20 2 3" xfId="614" xr:uid="{E2C75640-7D6A-469A-ADD3-069403F2730B}"/>
    <cellStyle name="Normal 20 2 3 2" xfId="1511" xr:uid="{6D068C9B-0283-4F63-89B3-7DA135B7BFBE}"/>
    <cellStyle name="Normal 20 2 4" xfId="1065" xr:uid="{B5710A25-5675-48EC-A733-C7FBEF334FAA}"/>
    <cellStyle name="Normal 20 3" xfId="300" xr:uid="{5F4404F5-8380-4579-B631-3D902D9C6784}"/>
    <cellStyle name="Normal 20 3 2" xfId="750" xr:uid="{3063CC37-7541-46F0-8D0C-25438BD198C8}"/>
    <cellStyle name="Normal 20 3 2 2" xfId="1647" xr:uid="{7F7F39CC-3281-4950-AA44-147D15103077}"/>
    <cellStyle name="Normal 20 3 3" xfId="1201" xr:uid="{8DB88B56-1C21-4601-8470-71E1482BC7BB}"/>
    <cellStyle name="Normal 20 4" xfId="527" xr:uid="{82F36A95-A96B-4A71-A5C8-560645D3E242}"/>
    <cellStyle name="Normal 20 4 2" xfId="1424" xr:uid="{50920715-5822-4E9D-95AD-0F36B2E4E2F7}"/>
    <cellStyle name="Normal 20 5" xfId="978" xr:uid="{F7449FC3-0405-4059-BBE5-2DD652AA2287}"/>
    <cellStyle name="Normal 21" xfId="70" xr:uid="{D7D0A16A-D249-4DF2-914B-FCA6C7BF012C}"/>
    <cellStyle name="Normal 21 2" xfId="163" xr:uid="{D0AF6B44-5394-4057-A741-A5A626511394}"/>
    <cellStyle name="Normal 21 2 2" xfId="388" xr:uid="{8E3A2E00-A300-4222-9148-C30409502DF5}"/>
    <cellStyle name="Normal 21 2 2 2" xfId="838" xr:uid="{F9D1206F-8174-4147-A1CE-0194A43196AD}"/>
    <cellStyle name="Normal 21 2 2 2 2" xfId="1735" xr:uid="{0ED49115-F3D7-4C39-B50D-F25DD497FE18}"/>
    <cellStyle name="Normal 21 2 2 3" xfId="1289" xr:uid="{AD9FDF08-895A-44D3-8132-6A3A57BE0372}"/>
    <cellStyle name="Normal 21 2 3" xfId="615" xr:uid="{CD65A24C-6816-413E-B57B-83AACAA4C85E}"/>
    <cellStyle name="Normal 21 2 3 2" xfId="1512" xr:uid="{ED44D78B-589C-4F9C-AEC6-33144AF8B962}"/>
    <cellStyle name="Normal 21 2 4" xfId="1066" xr:uid="{89CCBA5C-F1A5-4FF1-AB4B-2C9BAA033C37}"/>
    <cellStyle name="Normal 21 3" xfId="301" xr:uid="{5B78E889-F353-4A55-9567-566A84AEC01E}"/>
    <cellStyle name="Normal 21 3 2" xfId="751" xr:uid="{F522BC9E-0771-4720-A6AA-28B373E176F9}"/>
    <cellStyle name="Normal 21 3 2 2" xfId="1648" xr:uid="{EFDD0376-FD9B-4D6F-B3C1-EFF76DA2AE84}"/>
    <cellStyle name="Normal 21 3 3" xfId="1202" xr:uid="{2D5D8576-F9F2-4EB1-A51D-11DB85405FC7}"/>
    <cellStyle name="Normal 21 4" xfId="528" xr:uid="{4D90519E-F275-47FF-A705-8EAC612706A4}"/>
    <cellStyle name="Normal 21 4 2" xfId="1425" xr:uid="{3AC08C2A-BCBC-4112-A2F5-4068E180099A}"/>
    <cellStyle name="Normal 21 5" xfId="979" xr:uid="{A5A71D0B-CF0C-44C2-8D83-D06177D8C0A8}"/>
    <cellStyle name="Normal 22" xfId="72" xr:uid="{69E254AD-17B2-4EDB-B4CB-4D5C4AD004E9}"/>
    <cellStyle name="Normal 22 2" xfId="164" xr:uid="{22192C67-BCB0-44D1-BFA6-C2906B156C6E}"/>
    <cellStyle name="Normal 22 2 2" xfId="389" xr:uid="{2371854A-5C99-45A9-AB50-62F096381909}"/>
    <cellStyle name="Normal 22 2 2 2" xfId="839" xr:uid="{B471BE85-65CF-4C9E-A316-458657B0A2B8}"/>
    <cellStyle name="Normal 22 2 2 2 2" xfId="1736" xr:uid="{28317A62-3F4D-4C90-8390-64E3F96F44E4}"/>
    <cellStyle name="Normal 22 2 2 3" xfId="1290" xr:uid="{6362BE0D-C171-478E-8C21-75C703922F86}"/>
    <cellStyle name="Normal 22 2 3" xfId="616" xr:uid="{9934188B-C4C8-4B2D-B470-92E6BEEC0867}"/>
    <cellStyle name="Normal 22 2 3 2" xfId="1513" xr:uid="{F89D82D5-7598-49FB-9C06-380672CCE693}"/>
    <cellStyle name="Normal 22 2 4" xfId="1067" xr:uid="{A0A65A7D-27B0-4894-A5AD-9E2E52731EF5}"/>
    <cellStyle name="Normal 22 3" xfId="302" xr:uid="{2B7C81AE-89A8-4088-B828-A637A8106EEF}"/>
    <cellStyle name="Normal 22 3 2" xfId="752" xr:uid="{D347228C-1748-4B7B-9575-016D7653CF85}"/>
    <cellStyle name="Normal 22 3 2 2" xfId="1649" xr:uid="{1CDD4256-ADAB-48CD-85DA-F9AF64D681F0}"/>
    <cellStyle name="Normal 22 3 3" xfId="1203" xr:uid="{C0E271C4-F3B9-4A75-83EE-E93185429000}"/>
    <cellStyle name="Normal 22 4" xfId="529" xr:uid="{D030C390-9A6F-4700-BBF4-B7D0FC3C542F}"/>
    <cellStyle name="Normal 22 4 2" xfId="1426" xr:uid="{F4FBF59D-DB77-44E6-BFD2-64163E269E75}"/>
    <cellStyle name="Normal 22 5" xfId="980" xr:uid="{4170EA28-9E87-49E4-8AFC-FCE35B39428E}"/>
    <cellStyle name="Normal 23" xfId="73" xr:uid="{02E882ED-F88D-4E72-9581-5A9200992F0F}"/>
    <cellStyle name="Normal 23 2" xfId="165" xr:uid="{8D913D05-C597-42D2-8A90-F422FCDEC2ED}"/>
    <cellStyle name="Normal 23 2 2" xfId="390" xr:uid="{C0743819-AADD-4758-B560-EAEAC7FFBE0C}"/>
    <cellStyle name="Normal 23 2 2 2" xfId="840" xr:uid="{137FEC2E-E260-4F7D-86AC-227137538B08}"/>
    <cellStyle name="Normal 23 2 2 2 2" xfId="1737" xr:uid="{1811D071-7EEA-4DB8-8451-689126D56896}"/>
    <cellStyle name="Normal 23 2 2 3" xfId="1291" xr:uid="{44E5F9D7-5603-4B60-A97A-634AA8FB9C15}"/>
    <cellStyle name="Normal 23 2 3" xfId="617" xr:uid="{AD813F0B-3260-4E7A-9B2F-09F78F9BE878}"/>
    <cellStyle name="Normal 23 2 3 2" xfId="1514" xr:uid="{7000D0C0-9823-4E33-AD2C-06CC0CE740C6}"/>
    <cellStyle name="Normal 23 2 4" xfId="1068" xr:uid="{F7C9662A-82E2-47A4-A21E-9AA4F6411431}"/>
    <cellStyle name="Normal 23 3" xfId="303" xr:uid="{3CAB6EA9-232D-4A5D-ABC4-C60F2EAC2E08}"/>
    <cellStyle name="Normal 23 3 2" xfId="753" xr:uid="{2395A014-899D-4B40-8D7C-7B83CE9BEACD}"/>
    <cellStyle name="Normal 23 3 2 2" xfId="1650" xr:uid="{F241F68A-D822-4EC9-AD13-A10AC00A63A1}"/>
    <cellStyle name="Normal 23 3 3" xfId="1204" xr:uid="{34A75D01-6E24-45AB-8B9B-3462C10B734D}"/>
    <cellStyle name="Normal 23 4" xfId="530" xr:uid="{DB039931-14F3-42CB-AD3F-7312D2A48D39}"/>
    <cellStyle name="Normal 23 4 2" xfId="1427" xr:uid="{CAFDCC20-ACEF-453A-A630-039FD96AED44}"/>
    <cellStyle name="Normal 23 5" xfId="981" xr:uid="{1F91EA8F-F9C6-4BAD-AF1C-BAA43F616677}"/>
    <cellStyle name="Normal 24" xfId="74" xr:uid="{8386891C-F52F-4869-A770-8B835B4D1B16}"/>
    <cellStyle name="Normal 24 2" xfId="166" xr:uid="{96F24855-8137-429D-A022-ED6DD5B075CE}"/>
    <cellStyle name="Normal 24 2 2" xfId="391" xr:uid="{B6BD531E-2829-4F47-A48A-D825C05463EA}"/>
    <cellStyle name="Normal 24 2 2 2" xfId="841" xr:uid="{622D8B11-BA08-4885-A521-BC4B897967B6}"/>
    <cellStyle name="Normal 24 2 2 2 2" xfId="1738" xr:uid="{11CCC10B-3D87-4F09-A287-5D8BACD395E5}"/>
    <cellStyle name="Normal 24 2 2 3" xfId="1292" xr:uid="{1650778C-D3FB-4D1C-B8A6-5B0466E4BFD8}"/>
    <cellStyle name="Normal 24 2 3" xfId="618" xr:uid="{92C9201D-98C9-4AFD-8526-93BFD8C727A3}"/>
    <cellStyle name="Normal 24 2 3 2" xfId="1515" xr:uid="{698EC4D1-1259-4B78-B9C6-0883C5325966}"/>
    <cellStyle name="Normal 24 2 4" xfId="1069" xr:uid="{E237B443-77AA-4EB8-A7BE-7C90E19A1D92}"/>
    <cellStyle name="Normal 24 3" xfId="304" xr:uid="{D995D1D2-2FC9-4772-9125-5994BD48CAB2}"/>
    <cellStyle name="Normal 24 3 2" xfId="754" xr:uid="{B52BB509-5DB0-4C17-B9B5-77BE71DD943B}"/>
    <cellStyle name="Normal 24 3 2 2" xfId="1651" xr:uid="{7E1EFADC-E900-4925-825F-16F1150449FE}"/>
    <cellStyle name="Normal 24 3 3" xfId="1205" xr:uid="{2199F59D-28DB-4B05-94E3-13949365F4C1}"/>
    <cellStyle name="Normal 24 4" xfId="531" xr:uid="{340F7B34-E774-4C9A-A580-E3DEC1923842}"/>
    <cellStyle name="Normal 24 4 2" xfId="1428" xr:uid="{6B86D28A-C4E9-44D1-8107-BC8A3B253861}"/>
    <cellStyle name="Normal 24 5" xfId="982" xr:uid="{96102C96-E9EB-4D2D-97F2-8A638E00DC37}"/>
    <cellStyle name="Normal 25" xfId="76" xr:uid="{92FF0303-4385-4E5D-AE26-32251776F3A4}"/>
    <cellStyle name="Normal 25 2" xfId="168" xr:uid="{9A603830-FF5F-4F93-8B66-79021BE6B459}"/>
    <cellStyle name="Normal 25 2 2" xfId="393" xr:uid="{23DCC951-0840-442D-AF14-ABA324B63CCB}"/>
    <cellStyle name="Normal 25 2 2 2" xfId="843" xr:uid="{16E04030-A585-4F07-8F0A-16C28092B2FD}"/>
    <cellStyle name="Normal 25 2 2 2 2" xfId="1740" xr:uid="{57E7F14A-7DAF-44D9-AB8D-E5DAECAECFFC}"/>
    <cellStyle name="Normal 25 2 2 3" xfId="1294" xr:uid="{C340727A-0B77-4FBF-8C26-1E5414D7E8E4}"/>
    <cellStyle name="Normal 25 2 3" xfId="620" xr:uid="{67A66CF7-248D-4942-AB2F-7F1B80B05248}"/>
    <cellStyle name="Normal 25 2 3 2" xfId="1517" xr:uid="{2B3D2078-950E-4DB1-9645-9D5DBFAAC190}"/>
    <cellStyle name="Normal 25 2 4" xfId="1071" xr:uid="{28C55ED0-2E3A-418A-A057-F59FC596C7B7}"/>
    <cellStyle name="Normal 25 3" xfId="306" xr:uid="{4CB0FCF9-1688-4989-9A38-F1D943660D37}"/>
    <cellStyle name="Normal 25 3 2" xfId="756" xr:uid="{D23BDF2C-4908-4297-B7B1-B9AAD0FD59B6}"/>
    <cellStyle name="Normal 25 3 2 2" xfId="1653" xr:uid="{98426384-3D6F-42EB-B782-0C6C0ADE00D4}"/>
    <cellStyle name="Normal 25 3 3" xfId="1207" xr:uid="{A04D6617-89FD-44CD-BAF9-82116DD15C7F}"/>
    <cellStyle name="Normal 25 4" xfId="533" xr:uid="{6E7AB318-F580-471F-B887-BFEEED8F1E96}"/>
    <cellStyle name="Normal 25 4 2" xfId="1430" xr:uid="{65D07261-061C-494C-9FF4-2A4120A4A317}"/>
    <cellStyle name="Normal 25 5" xfId="984" xr:uid="{CE7AE930-EF84-447E-9239-89984E32DA66}"/>
    <cellStyle name="Normal 26" xfId="77" xr:uid="{2D57C5A9-25B9-443B-BA72-CD910F4A207A}"/>
    <cellStyle name="Normal 26 2" xfId="169" xr:uid="{0D06CCE1-E0F5-4035-8114-12B7A6FB0C6E}"/>
    <cellStyle name="Normal 26 2 2" xfId="394" xr:uid="{AAFCA715-D9D1-4BF0-9F0B-0731E58A728D}"/>
    <cellStyle name="Normal 26 2 2 2" xfId="844" xr:uid="{2AE6433C-258B-4BEF-B9B6-6A19A1AEB67A}"/>
    <cellStyle name="Normal 26 2 2 2 2" xfId="1741" xr:uid="{AE693EB1-0B26-47FC-8122-571E44B9CF50}"/>
    <cellStyle name="Normal 26 2 2 3" xfId="1295" xr:uid="{AB3D06A2-B272-4581-9883-FDED8012A642}"/>
    <cellStyle name="Normal 26 2 3" xfId="621" xr:uid="{C0BEFB03-BCFA-47B9-80DA-82BAAAB7DABC}"/>
    <cellStyle name="Normal 26 2 3 2" xfId="1518" xr:uid="{DC5A260C-C7EE-4379-B3FE-C21FAB617D33}"/>
    <cellStyle name="Normal 26 2 4" xfId="1072" xr:uid="{4DAE7E43-638A-4165-8D6E-27A4F2CB19A7}"/>
    <cellStyle name="Normal 26 3" xfId="307" xr:uid="{ACE93CC2-58B0-45AE-B629-86ED11D4A509}"/>
    <cellStyle name="Normal 26 3 2" xfId="757" xr:uid="{E1218C5C-EDDA-40B8-9EE1-7625D04EA945}"/>
    <cellStyle name="Normal 26 3 2 2" xfId="1654" xr:uid="{67F4BFA2-E953-492B-A34E-262121FE37C2}"/>
    <cellStyle name="Normal 26 3 3" xfId="1208" xr:uid="{D5E1BC3E-F9CC-4037-9826-A257BEB076BF}"/>
    <cellStyle name="Normal 26 4" xfId="534" xr:uid="{A641A405-5883-461B-AAF0-474E0A20F2AC}"/>
    <cellStyle name="Normal 26 4 2" xfId="1431" xr:uid="{948A7BC1-1F21-4AFA-AA28-ABB193E122C7}"/>
    <cellStyle name="Normal 26 5" xfId="985" xr:uid="{E9440A72-D371-4268-9856-8BE9E55FA94A}"/>
    <cellStyle name="Normal 27" xfId="78" xr:uid="{91279FDA-5433-41C2-93E4-0474D4606355}"/>
    <cellStyle name="Normal 27 2" xfId="170" xr:uid="{458CCB5E-8361-4DF4-8F53-F8E4BA502F9D}"/>
    <cellStyle name="Normal 27 2 2" xfId="395" xr:uid="{E07180DB-DB1F-43B9-94B6-BFABDC48A587}"/>
    <cellStyle name="Normal 27 2 2 2" xfId="845" xr:uid="{C8453398-F4A8-4367-9A11-56B4A9DA75CB}"/>
    <cellStyle name="Normal 27 2 2 2 2" xfId="1742" xr:uid="{3968A0BA-8E00-4BDF-B674-720F484E4B10}"/>
    <cellStyle name="Normal 27 2 2 3" xfId="1296" xr:uid="{A94B0717-76A8-4B19-889C-51B582C38B71}"/>
    <cellStyle name="Normal 27 2 3" xfId="622" xr:uid="{C651E671-068B-41DA-88EF-1112F5D8408C}"/>
    <cellStyle name="Normal 27 2 3 2" xfId="1519" xr:uid="{2CB5E134-9110-4136-831C-1968AED831D2}"/>
    <cellStyle name="Normal 27 2 4" xfId="1073" xr:uid="{A45A3835-24B8-44F5-8734-62C4B783DFB0}"/>
    <cellStyle name="Normal 27 3" xfId="308" xr:uid="{B2A1BD33-5AF5-458D-BE4C-0737D1C65194}"/>
    <cellStyle name="Normal 27 3 2" xfId="758" xr:uid="{76BFC857-DB47-4586-82E1-8FBBF0087F13}"/>
    <cellStyle name="Normal 27 3 2 2" xfId="1655" xr:uid="{F49D872C-FA61-47B6-99F2-09507F04530B}"/>
    <cellStyle name="Normal 27 3 3" xfId="1209" xr:uid="{3E4AD256-39F8-461F-B022-B6B4A13AD245}"/>
    <cellStyle name="Normal 27 4" xfId="535" xr:uid="{21D2B9C2-949A-4816-B3FF-9E8488EEB9A6}"/>
    <cellStyle name="Normal 27 4 2" xfId="1432" xr:uid="{65BB2864-AF9A-4CF8-815B-D10D425D2FF2}"/>
    <cellStyle name="Normal 27 5" xfId="986" xr:uid="{41EE87D0-4997-4876-BBE9-52C5286A767E}"/>
    <cellStyle name="Normal 28" xfId="79" xr:uid="{68164A4A-D04E-4667-B4B4-078940DE8E98}"/>
    <cellStyle name="Normal 28 2" xfId="171" xr:uid="{35FD2C55-7A1B-4413-838C-A82C4ED77E54}"/>
    <cellStyle name="Normal 28 2 2" xfId="396" xr:uid="{20D6A4A1-7E18-4F54-A775-D4E9A873AF95}"/>
    <cellStyle name="Normal 28 2 2 2" xfId="846" xr:uid="{CBA1D604-E228-45FC-9509-0C8730793502}"/>
    <cellStyle name="Normal 28 2 2 2 2" xfId="1743" xr:uid="{93DC4775-C0FF-4232-822E-A8659F1399F8}"/>
    <cellStyle name="Normal 28 2 2 3" xfId="1297" xr:uid="{A4D595B0-DE46-4F42-A1E6-94389E612F86}"/>
    <cellStyle name="Normal 28 2 3" xfId="623" xr:uid="{702D038B-57FD-4409-A4CD-EEB99F372660}"/>
    <cellStyle name="Normal 28 2 3 2" xfId="1520" xr:uid="{5CABE510-18CD-47CF-84F9-2A573ECACE3C}"/>
    <cellStyle name="Normal 28 2 4" xfId="1074" xr:uid="{B682371A-644A-4C94-983C-EBB15F0FC370}"/>
    <cellStyle name="Normal 28 3" xfId="309" xr:uid="{8177A5B6-5359-49BE-9DCA-54F6344E3649}"/>
    <cellStyle name="Normal 28 3 2" xfId="759" xr:uid="{9BCA710F-A500-4BD9-8591-6CCE231CC755}"/>
    <cellStyle name="Normal 28 3 2 2" xfId="1656" xr:uid="{D58331D2-BD91-4A2B-AAAF-8420F9429B7D}"/>
    <cellStyle name="Normal 28 3 3" xfId="1210" xr:uid="{0825E38F-080D-495D-AC42-C193A2540C32}"/>
    <cellStyle name="Normal 28 4" xfId="536" xr:uid="{3B43A1B4-7910-4920-80F6-BDF5B9A1198B}"/>
    <cellStyle name="Normal 28 4 2" xfId="1433" xr:uid="{F6D52340-779E-4F4E-98BD-A8A36E40A488}"/>
    <cellStyle name="Normal 28 5" xfId="987" xr:uid="{B5C1CA0C-20AB-49F0-9BA8-390D5D8F495E}"/>
    <cellStyle name="Normal 29" xfId="81" xr:uid="{6026E065-E7F9-4C95-9CC2-456E0C3874E4}"/>
    <cellStyle name="Normal 29 2" xfId="173" xr:uid="{C2AAC111-DC92-4456-85B5-78D4170CAFE9}"/>
    <cellStyle name="Normal 29 2 2" xfId="398" xr:uid="{A7BD811D-AFA2-46B2-9C1F-511EC9F6B705}"/>
    <cellStyle name="Normal 29 2 2 2" xfId="848" xr:uid="{C13E8187-6ED1-4724-BBF4-ECE26270931F}"/>
    <cellStyle name="Normal 29 2 2 2 2" xfId="1745" xr:uid="{6FC761AD-70B3-4505-B4EB-99C2D2D9B154}"/>
    <cellStyle name="Normal 29 2 2 3" xfId="1299" xr:uid="{FF31A5A0-D09A-4FCB-B441-190322D09173}"/>
    <cellStyle name="Normal 29 2 3" xfId="625" xr:uid="{B4624061-391E-484D-8791-2AFFF5779D45}"/>
    <cellStyle name="Normal 29 2 3 2" xfId="1522" xr:uid="{D5133DFD-E006-4C43-B0DA-F788158958F0}"/>
    <cellStyle name="Normal 29 2 4" xfId="1076" xr:uid="{1DB7D103-1339-4049-B5BC-FAD82194724D}"/>
    <cellStyle name="Normal 29 3" xfId="311" xr:uid="{5DE4E5C3-0C1E-4884-9348-84F6FEE53006}"/>
    <cellStyle name="Normal 29 3 2" xfId="761" xr:uid="{2C1D5D89-407F-46B4-9A5E-011F5BCC9394}"/>
    <cellStyle name="Normal 29 3 2 2" xfId="1658" xr:uid="{83E01176-0818-474F-B46D-F35A89535368}"/>
    <cellStyle name="Normal 29 3 3" xfId="1212" xr:uid="{74026D7F-052F-464E-87DD-1BC2A9F108D7}"/>
    <cellStyle name="Normal 29 4" xfId="538" xr:uid="{69F995E4-2E21-4896-AC9F-B4F7B4781F36}"/>
    <cellStyle name="Normal 29 4 2" xfId="1435" xr:uid="{249FBBBA-7371-4D4F-8A5E-5F6292E7E05D}"/>
    <cellStyle name="Normal 29 5" xfId="989" xr:uid="{B49AF532-A45A-476F-A4A4-0056C4CFB47C}"/>
    <cellStyle name="Normal 3" xfId="20" xr:uid="{00000000-0005-0000-0000-000014000000}"/>
    <cellStyle name="Normal 3 2" xfId="21" xr:uid="{00000000-0005-0000-0000-000015000000}"/>
    <cellStyle name="Normal 30" xfId="83" xr:uid="{B2A23DC0-2BE1-4825-855E-7232814C84AB}"/>
    <cellStyle name="Normal 30 2" xfId="175" xr:uid="{0DFD1FDF-67AB-427C-9867-610DA3153C7C}"/>
    <cellStyle name="Normal 30 2 2" xfId="400" xr:uid="{A9CE6E12-96E5-4DCC-A647-7A26C6FAFA9B}"/>
    <cellStyle name="Normal 30 2 2 2" xfId="850" xr:uid="{DB70350B-DE23-4CDD-9A5D-A51E9158E452}"/>
    <cellStyle name="Normal 30 2 2 2 2" xfId="1747" xr:uid="{F6EB03AC-002C-466B-8E23-AFAE11ADEBA5}"/>
    <cellStyle name="Normal 30 2 2 3" xfId="1301" xr:uid="{42E55B23-B840-446E-8314-17D9F8CC9ED8}"/>
    <cellStyle name="Normal 30 2 3" xfId="627" xr:uid="{3CDD2749-D768-4253-872F-AC2CBB5F341E}"/>
    <cellStyle name="Normal 30 2 3 2" xfId="1524" xr:uid="{F3C57E0F-00CF-4EFC-AB9C-F4E783435948}"/>
    <cellStyle name="Normal 30 2 4" xfId="1078" xr:uid="{515AC04F-5C21-42EA-B9DF-F77AD4BC8D4D}"/>
    <cellStyle name="Normal 30 3" xfId="313" xr:uid="{7D47D457-B6F6-4B90-8384-FB1773F9CC81}"/>
    <cellStyle name="Normal 30 3 2" xfId="763" xr:uid="{E8D0B35A-4F82-449B-9BDD-12505C850D83}"/>
    <cellStyle name="Normal 30 3 2 2" xfId="1660" xr:uid="{1E829E74-D78F-41B5-87F2-8ADD7984D521}"/>
    <cellStyle name="Normal 30 3 3" xfId="1214" xr:uid="{C80CB18B-2172-4127-B949-BE5F623C93E5}"/>
    <cellStyle name="Normal 30 4" xfId="540" xr:uid="{197E0995-0473-481D-9D71-A1501FB8E03C}"/>
    <cellStyle name="Normal 30 4 2" xfId="1437" xr:uid="{C8289BE5-FB40-4FD7-A15D-775B9F2A62DF}"/>
    <cellStyle name="Normal 30 5" xfId="991" xr:uid="{1EB49477-D9DE-4C2B-88DE-B4D7377E1E5B}"/>
    <cellStyle name="Normal 31" xfId="85" xr:uid="{4A1A3462-277F-4DF6-9BBE-0E60A1466CFB}"/>
    <cellStyle name="Normal 31 2" xfId="177" xr:uid="{2D19E9B0-E57E-463B-A233-10A8C3302B8C}"/>
    <cellStyle name="Normal 31 2 2" xfId="402" xr:uid="{A11EDA67-AA8E-42AA-A8D3-8CFB5EB5E46E}"/>
    <cellStyle name="Normal 31 2 2 2" xfId="852" xr:uid="{297F9869-9D8D-49CA-9E6B-95F7C1F271EE}"/>
    <cellStyle name="Normal 31 2 2 2 2" xfId="1749" xr:uid="{C54B623C-127A-4D68-9AFE-B1EBB981B827}"/>
    <cellStyle name="Normal 31 2 2 3" xfId="1303" xr:uid="{EE8C1F29-4C5D-480C-9004-AE222293BDF9}"/>
    <cellStyle name="Normal 31 2 3" xfId="629" xr:uid="{462FF0AE-D20E-466E-B20B-7E77EF7EEB69}"/>
    <cellStyle name="Normal 31 2 3 2" xfId="1526" xr:uid="{D8BE4841-CABB-4F98-8638-1AAA502A37DA}"/>
    <cellStyle name="Normal 31 2 4" xfId="1080" xr:uid="{9402B96D-AFAD-48E1-A056-95C6B63BB960}"/>
    <cellStyle name="Normal 31 3" xfId="315" xr:uid="{474A9AB4-66B6-40FB-B055-7325CF5E8BD6}"/>
    <cellStyle name="Normal 31 3 2" xfId="765" xr:uid="{722D1200-CCD9-4A57-9B6D-2DE3D7B9E8AB}"/>
    <cellStyle name="Normal 31 3 2 2" xfId="1662" xr:uid="{14570A67-A7F3-49E7-8833-884FA619AF08}"/>
    <cellStyle name="Normal 31 3 3" xfId="1216" xr:uid="{993AF015-3213-4AA9-8FAC-BE03C7ECFB66}"/>
    <cellStyle name="Normal 31 4" xfId="542" xr:uid="{2A69720F-0CA7-461D-A966-E22646F36C76}"/>
    <cellStyle name="Normal 31 4 2" xfId="1439" xr:uid="{68FE5652-4704-4944-A8BB-A4B3F7A975DA}"/>
    <cellStyle name="Normal 31 5" xfId="993" xr:uid="{401E8E91-6047-4CE2-BDC4-56546FFC15C8}"/>
    <cellStyle name="Normal 32" xfId="86" xr:uid="{503FCC98-F518-4BD9-AED2-608C30B091E7}"/>
    <cellStyle name="Normal 32 2" xfId="178" xr:uid="{1979415B-3F93-4F58-870E-DADD114B4008}"/>
    <cellStyle name="Normal 32 2 2" xfId="403" xr:uid="{CA014F78-E97C-4971-9DDD-446B72B7543E}"/>
    <cellStyle name="Normal 32 2 2 2" xfId="853" xr:uid="{39109F66-2F1F-4495-B7FE-DF9EBAF072EF}"/>
    <cellStyle name="Normal 32 2 2 2 2" xfId="1750" xr:uid="{F94C73FA-95B8-496E-A165-A1EC79BBCC9A}"/>
    <cellStyle name="Normal 32 2 2 3" xfId="1304" xr:uid="{C3CB49BC-7FB3-4985-8E84-A79407AF1C79}"/>
    <cellStyle name="Normal 32 2 3" xfId="630" xr:uid="{164CCF2D-51E3-4FE5-B5E0-A6E289DB2D1D}"/>
    <cellStyle name="Normal 32 2 3 2" xfId="1527" xr:uid="{2188CE22-6095-4B63-9F12-9432ACB56C15}"/>
    <cellStyle name="Normal 32 2 4" xfId="1081" xr:uid="{CB6A6559-D622-4EA6-9B8C-A4C52D5C0FF4}"/>
    <cellStyle name="Normal 32 3" xfId="316" xr:uid="{0EEBD6C7-C709-4B8D-82B1-F4805023567D}"/>
    <cellStyle name="Normal 32 3 2" xfId="766" xr:uid="{0386AF68-05F8-4516-BF96-10E52A89B95C}"/>
    <cellStyle name="Normal 32 3 2 2" xfId="1663" xr:uid="{5E0CFC37-921F-4AE1-A6FE-995ED9331815}"/>
    <cellStyle name="Normal 32 3 3" xfId="1217" xr:uid="{8BB90360-0122-4BC6-B678-614DDB54C758}"/>
    <cellStyle name="Normal 32 4" xfId="543" xr:uid="{B859BEE1-A11D-43CC-9483-5C553231612C}"/>
    <cellStyle name="Normal 32 4 2" xfId="1440" xr:uid="{55E28F47-9F28-4AD7-A130-9BEFD57ECEE0}"/>
    <cellStyle name="Normal 32 5" xfId="994" xr:uid="{188311CF-0599-46BD-A7DF-F6BE279B6127}"/>
    <cellStyle name="Normal 33" xfId="87" xr:uid="{6EA8695C-63B1-4B22-A082-F5B8A22DBB5C}"/>
    <cellStyle name="Normal 33 2" xfId="179" xr:uid="{54C05449-4894-4BF9-9A21-131E52D14036}"/>
    <cellStyle name="Normal 33 2 2" xfId="404" xr:uid="{58092700-7CCD-49EE-ACF1-6BE48865EB71}"/>
    <cellStyle name="Normal 33 2 2 2" xfId="854" xr:uid="{84E4597E-CBA1-4530-81A4-106C440971E9}"/>
    <cellStyle name="Normal 33 2 2 2 2" xfId="1751" xr:uid="{91056647-E576-466F-BF40-41CC035432ED}"/>
    <cellStyle name="Normal 33 2 2 3" xfId="1305" xr:uid="{96442130-072E-4C8E-8D9E-11A829E68D05}"/>
    <cellStyle name="Normal 33 2 3" xfId="631" xr:uid="{F40C5727-EF19-4402-B13C-2FC4A6D5D5D8}"/>
    <cellStyle name="Normal 33 2 3 2" xfId="1528" xr:uid="{C1CF0AA9-A706-4383-9349-3C9DAA805012}"/>
    <cellStyle name="Normal 33 2 4" xfId="1082" xr:uid="{436166E7-4C71-4324-AB57-DB86AF2B0B5C}"/>
    <cellStyle name="Normal 33 3" xfId="317" xr:uid="{9145AB94-DBC6-48D2-B6B6-D1AE35654F78}"/>
    <cellStyle name="Normal 33 3 2" xfId="767" xr:uid="{7B7E1906-84EA-49E4-AB8F-E3D6E28B9F9A}"/>
    <cellStyle name="Normal 33 3 2 2" xfId="1664" xr:uid="{21EDCF67-323A-4A3E-ACD7-8E7615B9BEAA}"/>
    <cellStyle name="Normal 33 3 3" xfId="1218" xr:uid="{AA2A563E-E5B9-4F70-80BE-A4C1AB683A6A}"/>
    <cellStyle name="Normal 33 4" xfId="544" xr:uid="{896CA291-3E35-4C44-AF42-3C8AE6B4783A}"/>
    <cellStyle name="Normal 33 4 2" xfId="1441" xr:uid="{6ED473DE-3A19-46F0-9E9B-6CA5588F1066}"/>
    <cellStyle name="Normal 33 5" xfId="995" xr:uid="{20B81DD3-6847-45F7-B6CD-D04F1910AD7F}"/>
    <cellStyle name="Normal 34" xfId="88" xr:uid="{E2E5EE60-DB31-4290-AE8B-EC5DB86E2DE8}"/>
    <cellStyle name="Normal 34 2" xfId="180" xr:uid="{2C046E18-866A-4D97-A810-61EC4087FBFB}"/>
    <cellStyle name="Normal 34 2 2" xfId="405" xr:uid="{10368292-C1A7-49A8-94EF-DB4E71B485D3}"/>
    <cellStyle name="Normal 34 2 2 2" xfId="855" xr:uid="{0DEAE973-4B6C-4F53-A403-87349CFD3286}"/>
    <cellStyle name="Normal 34 2 2 2 2" xfId="1752" xr:uid="{8C442C76-5044-4461-9890-02DFEF2D0904}"/>
    <cellStyle name="Normal 34 2 2 3" xfId="1306" xr:uid="{35B70D6F-78BB-4F82-8283-4F5E7756763F}"/>
    <cellStyle name="Normal 34 2 3" xfId="632" xr:uid="{AD1832A2-C898-43BB-991E-B13F8C9C3D71}"/>
    <cellStyle name="Normal 34 2 3 2" xfId="1529" xr:uid="{1B9AA662-C304-4835-ACC6-38426493C81B}"/>
    <cellStyle name="Normal 34 2 4" xfId="1083" xr:uid="{275896EA-7A03-4DC5-9902-DAF2489AD563}"/>
    <cellStyle name="Normal 34 3" xfId="318" xr:uid="{F53BF1C8-80BE-49D6-83B6-908724FF2C9A}"/>
    <cellStyle name="Normal 34 3 2" xfId="768" xr:uid="{FAF746F6-F927-4FFE-A718-368554AF8FD3}"/>
    <cellStyle name="Normal 34 3 2 2" xfId="1665" xr:uid="{FA593B23-0D55-4EFD-B1DF-C74038BACE2F}"/>
    <cellStyle name="Normal 34 3 3" xfId="1219" xr:uid="{BEB56443-A220-49EE-AC01-BB4435D1D487}"/>
    <cellStyle name="Normal 34 4" xfId="545" xr:uid="{C09C2EA1-5824-4CBF-9F6B-4FCE70292147}"/>
    <cellStyle name="Normal 34 4 2" xfId="1442" xr:uid="{13CAB3A5-6370-4989-A39B-98D81F9FC123}"/>
    <cellStyle name="Normal 34 5" xfId="996" xr:uid="{45CF1F9E-8330-4F9A-81D7-E2474995F661}"/>
    <cellStyle name="Normal 35" xfId="90" xr:uid="{729209BA-35F8-446F-A2D1-0AE9AEF0BCF5}"/>
    <cellStyle name="Normal 35 2" xfId="182" xr:uid="{61718FFB-E5A5-4974-A8EB-2EC14F2F420E}"/>
    <cellStyle name="Normal 35 2 2" xfId="407" xr:uid="{5AA6C0F5-746C-4A9A-9319-1B2198E422CE}"/>
    <cellStyle name="Normal 35 2 2 2" xfId="857" xr:uid="{80E39898-AF39-4B83-A894-A64C612C2939}"/>
    <cellStyle name="Normal 35 2 2 2 2" xfId="1754" xr:uid="{0999087B-A7E7-43C5-9EEB-F5486C35FD02}"/>
    <cellStyle name="Normal 35 2 2 3" xfId="1308" xr:uid="{742A2A1F-2544-45AA-88EB-2E30351B89EC}"/>
    <cellStyle name="Normal 35 2 3" xfId="634" xr:uid="{46F68CA4-0870-44D8-B628-DF3BA382FA3E}"/>
    <cellStyle name="Normal 35 2 3 2" xfId="1531" xr:uid="{01671283-E5B6-44DC-BD27-F97F421DE8EA}"/>
    <cellStyle name="Normal 35 2 4" xfId="1085" xr:uid="{797838BF-0847-415A-A89D-34C0D0D7DF6B}"/>
    <cellStyle name="Normal 35 3" xfId="320" xr:uid="{1CB8AA08-DFDE-4FEA-B962-264A577E3FE4}"/>
    <cellStyle name="Normal 35 3 2" xfId="770" xr:uid="{C9B49181-C4BC-4CD6-8E50-6CD8E898D9C3}"/>
    <cellStyle name="Normal 35 3 2 2" xfId="1667" xr:uid="{1E90CB98-B159-4D47-B491-32734E7E8A0D}"/>
    <cellStyle name="Normal 35 3 3" xfId="1221" xr:uid="{279F3E43-AB66-4A86-B0C0-6F928787D2BE}"/>
    <cellStyle name="Normal 35 4" xfId="547" xr:uid="{BC68DE36-CD4D-4CD6-B356-1EEFF40F2C75}"/>
    <cellStyle name="Normal 35 4 2" xfId="1444" xr:uid="{18EEB58C-F501-4682-84D5-4E42483CCAAF}"/>
    <cellStyle name="Normal 35 5" xfId="998" xr:uid="{D5E61C25-D171-4005-BC87-9D5504C27BFA}"/>
    <cellStyle name="Normal 36" xfId="91" xr:uid="{031C6E6E-778B-445C-B89E-90D9FAF085BF}"/>
    <cellStyle name="Normal 36 2" xfId="183" xr:uid="{F4FB4CBE-B837-4A72-8455-21C683AA5BE5}"/>
    <cellStyle name="Normal 36 2 2" xfId="408" xr:uid="{D98D7B31-1E8D-4C1E-9277-BD83BF2D3743}"/>
    <cellStyle name="Normal 36 2 2 2" xfId="858" xr:uid="{1DA4EED9-1915-42D7-9ED6-CA95CDB24225}"/>
    <cellStyle name="Normal 36 2 2 2 2" xfId="1755" xr:uid="{EDE3F023-ED6E-4C94-90D6-ED433637A48E}"/>
    <cellStyle name="Normal 36 2 2 3" xfId="1309" xr:uid="{435D914F-1C12-4146-875C-56AF0B5ADA0B}"/>
    <cellStyle name="Normal 36 2 3" xfId="635" xr:uid="{D02CB562-2BB8-4461-A245-6723EC9F10C6}"/>
    <cellStyle name="Normal 36 2 3 2" xfId="1532" xr:uid="{A8E06407-9685-4C7F-85FC-C628759A0016}"/>
    <cellStyle name="Normal 36 2 4" xfId="1086" xr:uid="{40278825-2784-4213-8BA8-636B28164F01}"/>
    <cellStyle name="Normal 36 3" xfId="321" xr:uid="{82FBD739-A154-4EAB-BDE3-D36EFD139832}"/>
    <cellStyle name="Normal 36 3 2" xfId="771" xr:uid="{BA7C8048-5CE6-4D59-AF67-C044DB806462}"/>
    <cellStyle name="Normal 36 3 2 2" xfId="1668" xr:uid="{80340A11-DECE-46DB-9C1C-A0DE93C967E1}"/>
    <cellStyle name="Normal 36 3 3" xfId="1222" xr:uid="{029F0FE6-DEAC-461A-A4AA-F2D8DA1A01B4}"/>
    <cellStyle name="Normal 36 4" xfId="548" xr:uid="{26F167F2-18E1-4A87-8F29-D7ED111B3B1C}"/>
    <cellStyle name="Normal 36 4 2" xfId="1445" xr:uid="{8752AF18-AA7F-4B63-B673-9167FB30ECC5}"/>
    <cellStyle name="Normal 36 5" xfId="999" xr:uid="{3D13583F-C6EC-46E2-B7B7-1DAAE7AC3911}"/>
    <cellStyle name="Normal 37" xfId="93" xr:uid="{B59A7B26-31F7-4E1C-9E0E-18D4F41BC1B6}"/>
    <cellStyle name="Normal 37 2" xfId="185" xr:uid="{BF141F02-85A7-4D43-93F2-164BF30BD47A}"/>
    <cellStyle name="Normal 37 2 2" xfId="410" xr:uid="{1085A1A8-06A0-4476-8187-186242EB7162}"/>
    <cellStyle name="Normal 37 2 2 2" xfId="860" xr:uid="{D02ABD0A-16BB-4286-91AE-1151C677113C}"/>
    <cellStyle name="Normal 37 2 2 2 2" xfId="1757" xr:uid="{9A504CA4-CDF5-411F-9018-B997F6C8C771}"/>
    <cellStyle name="Normal 37 2 2 3" xfId="1311" xr:uid="{9DFF3FC1-6DD0-4545-9BE0-79D2967CCCFF}"/>
    <cellStyle name="Normal 37 2 3" xfId="637" xr:uid="{C24A9DFB-B3FC-49C9-AD92-2398302F7B48}"/>
    <cellStyle name="Normal 37 2 3 2" xfId="1534" xr:uid="{67D427C6-C5BA-461C-8A5E-7195DB73861A}"/>
    <cellStyle name="Normal 37 2 4" xfId="1088" xr:uid="{19B1F84F-F374-421C-9C91-06034222AE25}"/>
    <cellStyle name="Normal 37 3" xfId="323" xr:uid="{B823164B-D42A-44C4-9525-749AFDA4A078}"/>
    <cellStyle name="Normal 37 3 2" xfId="773" xr:uid="{5BE8211D-5197-4E1D-97AA-FBABF4B4EB34}"/>
    <cellStyle name="Normal 37 3 2 2" xfId="1670" xr:uid="{73944A8E-4C03-41C4-B3B0-B792A4B53EE5}"/>
    <cellStyle name="Normal 37 3 3" xfId="1224" xr:uid="{1361A653-349F-47DC-B753-8A4E50FA8730}"/>
    <cellStyle name="Normal 37 4" xfId="550" xr:uid="{E5714685-BDC6-4D5B-B0AF-A01C03AB9E70}"/>
    <cellStyle name="Normal 37 4 2" xfId="1447" xr:uid="{00A5A086-E3F0-452D-B482-AF5F032E8B2D}"/>
    <cellStyle name="Normal 37 5" xfId="1001" xr:uid="{C60A96F3-5FE8-414E-91E8-CF5E12E84701}"/>
    <cellStyle name="Normal 38" xfId="95" xr:uid="{3A9D785D-F97E-4FD7-B11B-B6DC1E1C7132}"/>
    <cellStyle name="Normal 38 2" xfId="187" xr:uid="{6E7DA4D6-F24C-41B4-A365-91BD8BA2733B}"/>
    <cellStyle name="Normal 38 2 2" xfId="412" xr:uid="{4BFEB33F-B896-4A81-944E-5854D83303AE}"/>
    <cellStyle name="Normal 38 2 2 2" xfId="862" xr:uid="{92A8757A-48FE-44C7-9DC6-8CC261CA5FCD}"/>
    <cellStyle name="Normal 38 2 2 2 2" xfId="1759" xr:uid="{7A69A361-40A4-4D1F-809F-EDC458B0B2F4}"/>
    <cellStyle name="Normal 38 2 2 3" xfId="1313" xr:uid="{E7165A3A-59A5-484E-8F0E-553970EA1953}"/>
    <cellStyle name="Normal 38 2 3" xfId="639" xr:uid="{84370A59-4E01-493F-9AF9-B43B1A88DB52}"/>
    <cellStyle name="Normal 38 2 3 2" xfId="1536" xr:uid="{BB67C71C-FEF5-48DE-8E75-EBE1B29925CB}"/>
    <cellStyle name="Normal 38 2 4" xfId="1090" xr:uid="{E65AC6E1-2910-4125-9993-2CE2B4982EDC}"/>
    <cellStyle name="Normal 38 3" xfId="325" xr:uid="{7CE2DD9B-58A2-4F40-800E-71EB2C9C2740}"/>
    <cellStyle name="Normal 38 3 2" xfId="775" xr:uid="{5ABB904A-5723-4A2C-912A-978F30A32A66}"/>
    <cellStyle name="Normal 38 3 2 2" xfId="1672" xr:uid="{847411FD-2167-442F-8B4D-2CD632F96778}"/>
    <cellStyle name="Normal 38 3 3" xfId="1226" xr:uid="{32A483CA-53F0-4AA7-8204-93663147761F}"/>
    <cellStyle name="Normal 38 4" xfId="552" xr:uid="{0B3D434F-6E44-43B2-B063-DC2E1B378EEA}"/>
    <cellStyle name="Normal 38 4 2" xfId="1449" xr:uid="{CF86E8C2-64AB-4E61-B957-9B316F46625B}"/>
    <cellStyle name="Normal 38 5" xfId="1003" xr:uid="{38BD66B9-2903-43B6-8117-909027EA4726}"/>
    <cellStyle name="Normal 39" xfId="96" xr:uid="{AF4E2B33-5F45-42A9-8363-E693C4492C9A}"/>
    <cellStyle name="Normal 39 2" xfId="188" xr:uid="{354DDB7D-959F-4733-A762-9B61F61EB1D7}"/>
    <cellStyle name="Normal 39 2 2" xfId="413" xr:uid="{70A9BBBB-BD80-4170-AD37-9151A48915D9}"/>
    <cellStyle name="Normal 39 2 2 2" xfId="863" xr:uid="{5E4AC6DF-ABBE-43E1-9F4A-4A15AA6B078D}"/>
    <cellStyle name="Normal 39 2 2 2 2" xfId="1760" xr:uid="{DF97178C-A84A-459F-BB41-9C46DAB65502}"/>
    <cellStyle name="Normal 39 2 2 3" xfId="1314" xr:uid="{2944E181-6677-4CD7-A359-922CF94A6841}"/>
    <cellStyle name="Normal 39 2 3" xfId="640" xr:uid="{DE7C66C2-34EC-4A0C-B67F-1685C794E860}"/>
    <cellStyle name="Normal 39 2 3 2" xfId="1537" xr:uid="{A4E2A50D-37D8-45C3-BF9C-E7958FF99B59}"/>
    <cellStyle name="Normal 39 2 4" xfId="1091" xr:uid="{CF232D03-8EAB-41A1-966B-22A0913B2729}"/>
    <cellStyle name="Normal 39 3" xfId="326" xr:uid="{B51FFE0B-1431-42E6-A88C-BD61A5DADBA5}"/>
    <cellStyle name="Normal 39 3 2" xfId="776" xr:uid="{1ECAF0A1-5B6B-4661-A0C7-09427FDF1736}"/>
    <cellStyle name="Normal 39 3 2 2" xfId="1673" xr:uid="{D9484740-6382-42D2-BA4C-A994583E7F68}"/>
    <cellStyle name="Normal 39 3 3" xfId="1227" xr:uid="{7513539E-1314-4264-BC28-466390ABABC8}"/>
    <cellStyle name="Normal 39 4" xfId="553" xr:uid="{8CBC5258-A9BE-4AF9-A764-E6C1013D108A}"/>
    <cellStyle name="Normal 39 4 2" xfId="1450" xr:uid="{692EB53C-7967-465A-80F9-80EF6509DBB5}"/>
    <cellStyle name="Normal 39 5" xfId="1004" xr:uid="{AA1D0E21-2168-4A2D-941C-E0EE5677A626}"/>
    <cellStyle name="Normal 4" xfId="22" xr:uid="{00000000-0005-0000-0000-000016000000}"/>
    <cellStyle name="Normal 4 2" xfId="105" xr:uid="{F83DAAC9-335F-4B15-A9EE-11C1BA141C52}"/>
    <cellStyle name="Normal 40" xfId="98" xr:uid="{06413C40-90DB-43DD-BFFE-BE565C770A60}"/>
    <cellStyle name="Normal 40 2" xfId="190" xr:uid="{78A8F82F-4685-4A66-BDA5-747646E0FE95}"/>
    <cellStyle name="Normal 40 2 2" xfId="415" xr:uid="{2508746B-943D-40FB-A39E-4EC1C8F5935B}"/>
    <cellStyle name="Normal 40 2 2 2" xfId="865" xr:uid="{9F3DFCA2-AD7C-4146-83C0-6E89E3C69F48}"/>
    <cellStyle name="Normal 40 2 2 2 2" xfId="1762" xr:uid="{0F21D05C-0453-4D08-A9A8-5F48672E3452}"/>
    <cellStyle name="Normal 40 2 2 3" xfId="1316" xr:uid="{8474A9FF-7CC6-4B32-BB66-25C1D2268F25}"/>
    <cellStyle name="Normal 40 2 3" xfId="642" xr:uid="{6882ADC0-C36F-4C2B-B474-80EF57B95092}"/>
    <cellStyle name="Normal 40 2 3 2" xfId="1539" xr:uid="{1CD4182F-C019-4B2B-85D2-61AC905E5FD9}"/>
    <cellStyle name="Normal 40 2 4" xfId="1093" xr:uid="{0AEE70C0-791B-4429-8826-D26D23B426FE}"/>
    <cellStyle name="Normal 40 3" xfId="328" xr:uid="{9DD1E693-6689-449F-B0B4-AC5AC7883302}"/>
    <cellStyle name="Normal 40 3 2" xfId="778" xr:uid="{D37EA7A7-D301-4367-A5ED-33D465F5977C}"/>
    <cellStyle name="Normal 40 3 2 2" xfId="1675" xr:uid="{5D6A15DC-9862-45AA-94B9-1B54777AA418}"/>
    <cellStyle name="Normal 40 3 3" xfId="1229" xr:uid="{0F46309C-F684-4CDC-8132-E8EE2D2CECD3}"/>
    <cellStyle name="Normal 40 4" xfId="555" xr:uid="{2FBDDF4F-1AB6-46F8-832A-D5FF2AD52EA3}"/>
    <cellStyle name="Normal 40 4 2" xfId="1452" xr:uid="{18598C20-B69A-45DC-9652-85AC87C74427}"/>
    <cellStyle name="Normal 40 5" xfId="1006" xr:uid="{A91C7187-D6A2-4C14-BCCD-58BF1EDD3970}"/>
    <cellStyle name="Normal 41" xfId="100" xr:uid="{91F0F732-DB2A-469E-BAA1-E0A229B5C1F6}"/>
    <cellStyle name="Normal 41 2" xfId="192" xr:uid="{5367D1C6-FD60-4209-ACBE-2B83CB8DFD51}"/>
    <cellStyle name="Normal 41 2 2" xfId="417" xr:uid="{182C1E53-7087-44F6-912C-D4F4D3302203}"/>
    <cellStyle name="Normal 41 2 2 2" xfId="867" xr:uid="{A41C03AD-7411-4057-83C9-5E34D1A14861}"/>
    <cellStyle name="Normal 41 2 2 2 2" xfId="1764" xr:uid="{2E200605-4914-40C6-9B43-EADE7BC2B3DE}"/>
    <cellStyle name="Normal 41 2 2 3" xfId="1318" xr:uid="{40F92780-CC98-4319-BF51-594F0A4F7167}"/>
    <cellStyle name="Normal 41 2 3" xfId="644" xr:uid="{9FEE564A-3240-4B68-A593-093F759B12FD}"/>
    <cellStyle name="Normal 41 2 3 2" xfId="1541" xr:uid="{8E7A8C83-9377-4EC1-93AE-55683A358107}"/>
    <cellStyle name="Normal 41 2 4" xfId="1095" xr:uid="{E276E12D-1188-4823-8104-08BBB0A68A85}"/>
    <cellStyle name="Normal 41 3" xfId="330" xr:uid="{D55D6693-809B-485B-91A2-5CB788F67558}"/>
    <cellStyle name="Normal 41 3 2" xfId="780" xr:uid="{31870485-A58E-4012-AE25-5047643438C0}"/>
    <cellStyle name="Normal 41 3 2 2" xfId="1677" xr:uid="{6F4246E0-3ED4-41F4-BD15-CB0612FC27D4}"/>
    <cellStyle name="Normal 41 3 3" xfId="1231" xr:uid="{C5D8709E-06AA-43AB-A447-0E640CB7C616}"/>
    <cellStyle name="Normal 41 4" xfId="557" xr:uid="{2955B638-609A-4F3B-ABF8-44D7CF7C28CF}"/>
    <cellStyle name="Normal 41 4 2" xfId="1454" xr:uid="{EDC28E70-F6D4-47D9-8860-464C44E98BB6}"/>
    <cellStyle name="Normal 41 5" xfId="1008" xr:uid="{D0FAF0D8-D3C3-470A-B2BA-8F4642A8B89B}"/>
    <cellStyle name="Normal 42" xfId="102" xr:uid="{E947A599-837B-4EAD-87AD-778208F24390}"/>
    <cellStyle name="Normal 42 2" xfId="194" xr:uid="{7329A99E-7A1F-457D-86C8-BB9C38C60BED}"/>
    <cellStyle name="Normal 42 2 2" xfId="419" xr:uid="{DE39D1F1-E913-4534-A91E-CDADFDFC4EC9}"/>
    <cellStyle name="Normal 42 2 2 2" xfId="869" xr:uid="{39755133-1AE1-46BD-A31B-4BD2B418709F}"/>
    <cellStyle name="Normal 42 2 2 2 2" xfId="1766" xr:uid="{E936AAC3-1890-4360-A03B-998132EFE381}"/>
    <cellStyle name="Normal 42 2 2 3" xfId="1320" xr:uid="{6F97797C-47F4-4712-8C7B-F913298137A7}"/>
    <cellStyle name="Normal 42 2 3" xfId="646" xr:uid="{75F5270A-B1A2-4BF1-883C-B6EB26C143E1}"/>
    <cellStyle name="Normal 42 2 3 2" xfId="1543" xr:uid="{622895E1-6029-4005-9AFA-6E868818B42F}"/>
    <cellStyle name="Normal 42 2 4" xfId="1097" xr:uid="{DE368BFF-7EBD-47A2-BD4E-32D4672E4290}"/>
    <cellStyle name="Normal 42 3" xfId="332" xr:uid="{32F0FC46-ACFF-4FFA-BED2-77DFB4EDBC86}"/>
    <cellStyle name="Normal 42 3 2" xfId="782" xr:uid="{0EDD0632-2F46-439D-8760-E66732D932FF}"/>
    <cellStyle name="Normal 42 3 2 2" xfId="1679" xr:uid="{01E5E4FC-D1E0-4AEF-96FB-F00E6C7C867D}"/>
    <cellStyle name="Normal 42 3 3" xfId="1233" xr:uid="{544C5259-1018-4BAC-8501-4905C71745A5}"/>
    <cellStyle name="Normal 42 4" xfId="559" xr:uid="{5DFEA77D-4DF9-4D90-A989-E0628C3EBE20}"/>
    <cellStyle name="Normal 42 4 2" xfId="1456" xr:uid="{E5DC8384-8104-494A-B4A7-7B6A3CF6DCBB}"/>
    <cellStyle name="Normal 42 5" xfId="1010" xr:uid="{9BC16458-9D5B-4790-887E-D24C3AA86B28}"/>
    <cellStyle name="Normal 43" xfId="106" xr:uid="{4DE510E4-C649-4BF7-BA27-E2197C4CEE53}"/>
    <cellStyle name="Normal 43 2" xfId="197" xr:uid="{E5F0546B-9F28-426C-BF94-5443F600B114}"/>
    <cellStyle name="Normal 43 2 2" xfId="422" xr:uid="{66D3C8DA-3C45-4D77-835B-C493D34DA5FB}"/>
    <cellStyle name="Normal 43 2 2 2" xfId="872" xr:uid="{070C98ED-F904-4687-89B3-3284D32C616B}"/>
    <cellStyle name="Normal 43 2 2 2 2" xfId="1769" xr:uid="{DF158E29-88C7-4508-8290-FE6A5F421990}"/>
    <cellStyle name="Normal 43 2 2 3" xfId="1323" xr:uid="{152836A5-6B00-4A94-9552-1E1CF4E8BB5D}"/>
    <cellStyle name="Normal 43 2 3" xfId="649" xr:uid="{2529320B-1533-4118-8A29-8859B77016BF}"/>
    <cellStyle name="Normal 43 2 3 2" xfId="1546" xr:uid="{944BFD5C-E34F-4451-88C6-E48F07353277}"/>
    <cellStyle name="Normal 43 2 4" xfId="1100" xr:uid="{7C1D7221-2C58-4405-BFC7-457F684048B8}"/>
    <cellStyle name="Normal 43 3" xfId="335" xr:uid="{EDE9DEB2-EBA3-410E-9132-4932C6972B75}"/>
    <cellStyle name="Normal 43 3 2" xfId="785" xr:uid="{B7710ECC-D45C-4157-A86B-8B2D6C43D2BE}"/>
    <cellStyle name="Normal 43 3 2 2" xfId="1682" xr:uid="{55014ED8-4E0B-4A2A-A5B9-7E0CF9576B35}"/>
    <cellStyle name="Normal 43 3 3" xfId="1236" xr:uid="{8683C0A1-8B5C-46C4-9143-3B9D700A4E35}"/>
    <cellStyle name="Normal 43 4" xfId="562" xr:uid="{7013F0B3-25B0-408F-B9ED-8EC40FB7A5D7}"/>
    <cellStyle name="Normal 43 4 2" xfId="1459" xr:uid="{9DCB48D0-2132-47CF-AF8D-780D98DC9D6A}"/>
    <cellStyle name="Normal 43 5" xfId="1013" xr:uid="{9E6B0477-B272-4079-86F8-A03033F51B52}"/>
    <cellStyle name="Normal 44" xfId="108" xr:uid="{7CB1A869-2049-4CDF-BE9A-C43B7E6D4DE0}"/>
    <cellStyle name="Normal 44 2" xfId="199" xr:uid="{355FACCE-7864-48DB-8DDE-3A5E02C768A6}"/>
    <cellStyle name="Normal 44 2 2" xfId="424" xr:uid="{E32C26D9-4801-4EC5-A8BF-3FE541F3E3EE}"/>
    <cellStyle name="Normal 44 2 2 2" xfId="874" xr:uid="{1CA775F1-9519-4F93-8AD9-65E134968898}"/>
    <cellStyle name="Normal 44 2 2 2 2" xfId="1771" xr:uid="{62630183-7562-42C8-B4F6-A88968072874}"/>
    <cellStyle name="Normal 44 2 2 3" xfId="1325" xr:uid="{4D70D420-5E37-4D1A-9416-BEEAD8A8FA7C}"/>
    <cellStyle name="Normal 44 2 3" xfId="651" xr:uid="{6574B0D2-6DAE-4B5D-BF42-4DC95648DA4E}"/>
    <cellStyle name="Normal 44 2 3 2" xfId="1548" xr:uid="{AF8C7AB6-038E-41AD-AD18-C76CE830A93E}"/>
    <cellStyle name="Normal 44 2 4" xfId="1102" xr:uid="{FF1D0F22-3610-4DBA-AB06-3FF0110C69D7}"/>
    <cellStyle name="Normal 44 3" xfId="337" xr:uid="{9E66168D-F355-4E15-8826-98F4BC24894F}"/>
    <cellStyle name="Normal 44 3 2" xfId="787" xr:uid="{30DB328A-72CD-4119-AB5A-B6C7210816AF}"/>
    <cellStyle name="Normal 44 3 2 2" xfId="1684" xr:uid="{2D69AC0C-6EBC-463E-B555-2EA4E3CEB9F8}"/>
    <cellStyle name="Normal 44 3 3" xfId="1238" xr:uid="{1D865A3E-AE70-44BF-8D8E-4A0C1C1A365A}"/>
    <cellStyle name="Normal 44 4" xfId="564" xr:uid="{A040ABA5-E96B-4DE2-A992-6F695BF02868}"/>
    <cellStyle name="Normal 44 4 2" xfId="1461" xr:uid="{60F1DEAB-4CCB-4965-9DF8-1F7EBFA8D146}"/>
    <cellStyle name="Normal 44 5" xfId="1015" xr:uid="{4177D4A5-33F1-496E-89F2-3A6DFE0E41FA}"/>
    <cellStyle name="Normal 45" xfId="109" xr:uid="{93F21555-EFB3-4302-9244-D9E0E498DF36}"/>
    <cellStyle name="Normal 45 2" xfId="200" xr:uid="{7EB1825C-8121-4776-B8D8-E68AC8EEEBDA}"/>
    <cellStyle name="Normal 45 2 2" xfId="425" xr:uid="{7874EF9B-9E30-47AE-AEE9-E0DA39A2E6BA}"/>
    <cellStyle name="Normal 45 2 2 2" xfId="875" xr:uid="{1B792BF6-D345-4B60-B392-E9231B0CA1C1}"/>
    <cellStyle name="Normal 45 2 2 2 2" xfId="1772" xr:uid="{AAE199F0-7CA8-42DB-A7FF-69DD25737008}"/>
    <cellStyle name="Normal 45 2 2 3" xfId="1326" xr:uid="{EC5A48D4-D05A-43D4-8C18-37B706F9913A}"/>
    <cellStyle name="Normal 45 2 3" xfId="652" xr:uid="{6A3F1FEA-19C3-4BE0-8735-704A79054A8C}"/>
    <cellStyle name="Normal 45 2 3 2" xfId="1549" xr:uid="{9DCFEBC9-B8C1-45AB-B78E-1D7AC6E72662}"/>
    <cellStyle name="Normal 45 2 4" xfId="1103" xr:uid="{15D69EF1-6EE7-4ED1-8D0C-A6586365CC42}"/>
    <cellStyle name="Normal 45 3" xfId="338" xr:uid="{959B2493-ED16-4E69-99CA-D7EB7B46628D}"/>
    <cellStyle name="Normal 45 3 2" xfId="788" xr:uid="{E7670950-440C-45F2-843A-ED098E34BE19}"/>
    <cellStyle name="Normal 45 3 2 2" xfId="1685" xr:uid="{DB0A6EB4-E29D-4675-AD07-98A611AC83C6}"/>
    <cellStyle name="Normal 45 3 3" xfId="1239" xr:uid="{4C462B14-2E20-4F34-B257-DA68BC610078}"/>
    <cellStyle name="Normal 45 4" xfId="565" xr:uid="{D87AC4CA-5CD9-4CF5-B516-8C3329668EE9}"/>
    <cellStyle name="Normal 45 4 2" xfId="1462" xr:uid="{21788698-80A7-4490-AFF5-300B51637445}"/>
    <cellStyle name="Normal 45 5" xfId="1016" xr:uid="{C76D68A0-BE2B-4DA4-85BF-F5F79B1C7868}"/>
    <cellStyle name="Normal 46" xfId="110" xr:uid="{102AEE49-68F6-4F47-916F-C71F61229F42}"/>
    <cellStyle name="Normal 46 2" xfId="201" xr:uid="{0AD77299-2167-4902-841D-1E482A6DF76F}"/>
    <cellStyle name="Normal 46 2 2" xfId="426" xr:uid="{CE8C786E-F3A6-4689-BCA8-C57656827C3D}"/>
    <cellStyle name="Normal 46 2 2 2" xfId="876" xr:uid="{6B9D602B-9906-4784-8F43-61F60FBD8CA7}"/>
    <cellStyle name="Normal 46 2 2 2 2" xfId="1773" xr:uid="{2D191DFE-1853-4649-9222-AB078FEC168D}"/>
    <cellStyle name="Normal 46 2 2 3" xfId="1327" xr:uid="{F33F4B00-A9C7-4527-8C28-2E13467A6690}"/>
    <cellStyle name="Normal 46 2 3" xfId="653" xr:uid="{01D902DE-3E09-4FC0-9D7F-7CDEDDF5C6C5}"/>
    <cellStyle name="Normal 46 2 3 2" xfId="1550" xr:uid="{C31DB827-23F8-4AC7-B0DD-9E866BB65291}"/>
    <cellStyle name="Normal 46 2 4" xfId="1104" xr:uid="{D7A96284-F2AC-4938-89AB-292E4B45B902}"/>
    <cellStyle name="Normal 46 3" xfId="339" xr:uid="{828E8CF3-0A2D-467C-855F-3F99BE04EF23}"/>
    <cellStyle name="Normal 46 3 2" xfId="789" xr:uid="{C1DD99D1-A683-4ED2-982B-02C48311708D}"/>
    <cellStyle name="Normal 46 3 2 2" xfId="1686" xr:uid="{A9E7B7CF-C334-45F9-9067-87F09D969454}"/>
    <cellStyle name="Normal 46 3 3" xfId="1240" xr:uid="{4024C26B-8348-41E2-9BBF-AC209A496330}"/>
    <cellStyle name="Normal 46 4" xfId="566" xr:uid="{6B7067E9-1560-43AC-BDC4-A8C9440A39DC}"/>
    <cellStyle name="Normal 46 4 2" xfId="1463" xr:uid="{E6F2DA8C-8406-4927-AB9E-CB2A75867D9E}"/>
    <cellStyle name="Normal 46 5" xfId="1017" xr:uid="{3FD48B01-CFCF-43A2-8B6B-78F61195FD10}"/>
    <cellStyle name="Normal 47" xfId="112" xr:uid="{7C2CC7F7-1F72-4338-8FF3-1A5129B58AB6}"/>
    <cellStyle name="Normal 47 2" xfId="203" xr:uid="{64D1B10B-1737-4385-8140-E0687AAE311B}"/>
    <cellStyle name="Normal 47 2 2" xfId="428" xr:uid="{4C0E1D88-D99F-4269-B7DF-2208AC10C7AA}"/>
    <cellStyle name="Normal 47 2 2 2" xfId="878" xr:uid="{8D8004F8-7C8F-4900-A4E5-6534358FDA54}"/>
    <cellStyle name="Normal 47 2 2 2 2" xfId="1775" xr:uid="{FC0A521B-95C5-4794-8A2F-B9DF6967E7F4}"/>
    <cellStyle name="Normal 47 2 2 3" xfId="1329" xr:uid="{9DAEB8C6-D031-4BB1-9061-4271852DF5E0}"/>
    <cellStyle name="Normal 47 2 3" xfId="655" xr:uid="{56F6DA41-5207-483C-9FEB-A58DFDE7B494}"/>
    <cellStyle name="Normal 47 2 3 2" xfId="1552" xr:uid="{B2B5FD75-8CBE-4DB3-8BFA-30E8E2F9CAF5}"/>
    <cellStyle name="Normal 47 2 4" xfId="1106" xr:uid="{044E3F1A-C1F1-49A0-9685-7E1C582212AC}"/>
    <cellStyle name="Normal 47 3" xfId="341" xr:uid="{52C6C36C-15B4-4475-A2E6-BAA3D990D5B0}"/>
    <cellStyle name="Normal 47 3 2" xfId="791" xr:uid="{D9D22BA6-2836-472A-8733-F0CC034D6B41}"/>
    <cellStyle name="Normal 47 3 2 2" xfId="1688" xr:uid="{B77C0431-B023-4CA7-880C-F64E5B613C14}"/>
    <cellStyle name="Normal 47 3 3" xfId="1242" xr:uid="{4A27AD09-F30F-4751-8CCE-21FFC21F3242}"/>
    <cellStyle name="Normal 47 4" xfId="568" xr:uid="{F5E6B125-2CC4-480D-B294-FAD459BCCB1B}"/>
    <cellStyle name="Normal 47 4 2" xfId="1465" xr:uid="{C3E04F94-FC07-4B82-AA81-D6118FCFACD1}"/>
    <cellStyle name="Normal 47 5" xfId="1019" xr:uid="{16B5BDA4-F32C-497B-9C82-74897EE88BBF}"/>
    <cellStyle name="Normal 48" xfId="113" xr:uid="{6E86CE84-A453-48C6-8A02-9F931393F417}"/>
    <cellStyle name="Normal 48 2" xfId="204" xr:uid="{55B779CF-6674-4D1B-8251-6A2C3EEB1A00}"/>
    <cellStyle name="Normal 48 2 2" xfId="429" xr:uid="{3E39AB34-45C3-41DA-ADD4-C4DC9F80BB76}"/>
    <cellStyle name="Normal 48 2 2 2" xfId="879" xr:uid="{A9E7B5E7-AA44-4322-8288-9CAEB937FCF2}"/>
    <cellStyle name="Normal 48 2 2 2 2" xfId="1776" xr:uid="{9E368455-178B-4FD6-8734-5A2AF6F3682D}"/>
    <cellStyle name="Normal 48 2 2 3" xfId="1330" xr:uid="{BEF54580-18D3-4CBC-A8DE-645DB8CD7A1E}"/>
    <cellStyle name="Normal 48 2 3" xfId="656" xr:uid="{BF278A13-B550-48CA-AC36-7C8FEE3B36A6}"/>
    <cellStyle name="Normal 48 2 3 2" xfId="1553" xr:uid="{1906B7F3-5142-48EF-A7F0-8330B2F0EAB8}"/>
    <cellStyle name="Normal 48 2 4" xfId="1107" xr:uid="{D5A77985-1547-4762-A630-703A2F042094}"/>
    <cellStyle name="Normal 48 3" xfId="342" xr:uid="{84BC0F02-2E33-4D11-BCEF-CC2F71BCD06A}"/>
    <cellStyle name="Normal 48 3 2" xfId="792" xr:uid="{AA216B63-C9AB-49DF-991E-B35B5F59A861}"/>
    <cellStyle name="Normal 48 3 2 2" xfId="1689" xr:uid="{19DA5CEA-BE6E-4FC6-B08D-87C8E7328851}"/>
    <cellStyle name="Normal 48 3 3" xfId="1243" xr:uid="{E2292809-06EB-4856-A5FE-5E523B9177D4}"/>
    <cellStyle name="Normal 48 4" xfId="569" xr:uid="{D4AA76EF-3A58-40CA-AC0D-BABB9D9375B7}"/>
    <cellStyle name="Normal 48 4 2" xfId="1466" xr:uid="{BDB346E2-8879-4C03-9557-D45D9D935A01}"/>
    <cellStyle name="Normal 48 5" xfId="1020" xr:uid="{CFDE9B7D-FB3D-4E30-AD0C-442F155A477B}"/>
    <cellStyle name="Normal 49" xfId="115" xr:uid="{00B18183-3E71-4CBD-929A-2FAA1643D14E}"/>
    <cellStyle name="Normal 49 2" xfId="206" xr:uid="{B394B30F-FB5B-4EEB-8146-0F5BC21A98DA}"/>
    <cellStyle name="Normal 49 2 2" xfId="431" xr:uid="{24EFD280-BD27-487F-BA70-4E8944D2D574}"/>
    <cellStyle name="Normal 49 2 2 2" xfId="881" xr:uid="{3DB71881-B7AA-4ADE-AEFB-BF078FFD2C28}"/>
    <cellStyle name="Normal 49 2 2 2 2" xfId="1778" xr:uid="{6FADB63D-8E31-4AA6-BE81-0B6A1161230C}"/>
    <cellStyle name="Normal 49 2 2 3" xfId="1332" xr:uid="{4E7BA7DE-4832-4062-AEC7-81D2FAB630AF}"/>
    <cellStyle name="Normal 49 2 3" xfId="658" xr:uid="{75C77909-D92D-4493-A83D-DC2A2FC6D83D}"/>
    <cellStyle name="Normal 49 2 3 2" xfId="1555" xr:uid="{3444110E-5BD6-46C6-8889-B9AC593ACD0B}"/>
    <cellStyle name="Normal 49 2 4" xfId="1109" xr:uid="{1168DF42-3A6B-4F1D-B3E3-977FAF5B078F}"/>
    <cellStyle name="Normal 49 3" xfId="344" xr:uid="{3BF5A072-A631-49CC-8B06-A4918D4641C0}"/>
    <cellStyle name="Normal 49 3 2" xfId="794" xr:uid="{C58E6A92-7653-460B-AE84-08E4490BF1E7}"/>
    <cellStyle name="Normal 49 3 2 2" xfId="1691" xr:uid="{44C109C5-4C6C-4DFD-8E95-A1DED00788A6}"/>
    <cellStyle name="Normal 49 3 3" xfId="1245" xr:uid="{7233C2DC-B303-4418-81D9-74A1BA7211F1}"/>
    <cellStyle name="Normal 49 4" xfId="571" xr:uid="{40784DB8-0D9B-4E94-AA6A-A239BFDDC28D}"/>
    <cellStyle name="Normal 49 4 2" xfId="1468" xr:uid="{2E043E4B-906B-4660-878C-0B2B06525DE5}"/>
    <cellStyle name="Normal 49 5" xfId="1022" xr:uid="{1F482982-85D6-4BA2-9C72-D9174BEEE92D}"/>
    <cellStyle name="Normal 5" xfId="23" xr:uid="{00000000-0005-0000-0000-000017000000}"/>
    <cellStyle name="Normal 50" xfId="117" xr:uid="{4FD3C820-C82B-479A-83AA-249BC019411A}"/>
    <cellStyle name="Normal 50 2" xfId="208" xr:uid="{39AD08C7-01AA-4A26-B967-1D9C9935F767}"/>
    <cellStyle name="Normal 50 2 2" xfId="433" xr:uid="{1F8AFC75-7374-4576-81D6-CDA304EDFD04}"/>
    <cellStyle name="Normal 50 2 2 2" xfId="883" xr:uid="{CB6732DF-474B-4147-AD09-7BA587A57B36}"/>
    <cellStyle name="Normal 50 2 2 2 2" xfId="1780" xr:uid="{6106D87D-2EA9-4E97-9C23-7085A44C3632}"/>
    <cellStyle name="Normal 50 2 2 3" xfId="1334" xr:uid="{29C46F1C-5CFD-443B-9A3B-0C2C9D711AAB}"/>
    <cellStyle name="Normal 50 2 3" xfId="660" xr:uid="{7E4031DE-E7BA-4C82-AF54-065A75BDC5D7}"/>
    <cellStyle name="Normal 50 2 3 2" xfId="1557" xr:uid="{02DAAFAE-E2AB-4E8C-8711-D7929CF3E75C}"/>
    <cellStyle name="Normal 50 2 4" xfId="1111" xr:uid="{14AE295F-CE70-4EBF-9F7C-1E832F519F8E}"/>
    <cellStyle name="Normal 50 3" xfId="346" xr:uid="{2F2C009F-D580-4898-AEDD-AC59F56042E2}"/>
    <cellStyle name="Normal 50 3 2" xfId="796" xr:uid="{25FEDD5F-D217-4D4E-A2C8-86C5A1EDEA14}"/>
    <cellStyle name="Normal 50 3 2 2" xfId="1693" xr:uid="{BD9EC5A7-05BB-43CA-ACB9-E61657D21D11}"/>
    <cellStyle name="Normal 50 3 3" xfId="1247" xr:uid="{DD801D2D-23B0-4431-83D0-96FA37F23DF9}"/>
    <cellStyle name="Normal 50 4" xfId="573" xr:uid="{7BF14D70-8C34-4369-A292-20DC7218F5C8}"/>
    <cellStyle name="Normal 50 4 2" xfId="1470" xr:uid="{2500997B-EE96-4FF2-80CF-4472A46A91B1}"/>
    <cellStyle name="Normal 50 5" xfId="1024" xr:uid="{83D7AC38-E822-4245-946C-0760BAC7DA19}"/>
    <cellStyle name="Normal 51" xfId="118" xr:uid="{C6B8CB16-6B83-42C5-A4F5-3D6B6672D8F0}"/>
    <cellStyle name="Normal 51 2" xfId="209" xr:uid="{00651E05-4F0E-4103-AF65-09205B922FC8}"/>
    <cellStyle name="Normal 51 2 2" xfId="434" xr:uid="{D17D406B-5739-43FE-B8A8-2D8F23C3778D}"/>
    <cellStyle name="Normal 51 2 2 2" xfId="884" xr:uid="{D7B646FE-6B4A-48B2-AE9D-E57F3F324EDB}"/>
    <cellStyle name="Normal 51 2 2 2 2" xfId="1781" xr:uid="{312A1894-787D-41E1-BA74-5AC4261464BB}"/>
    <cellStyle name="Normal 51 2 2 3" xfId="1335" xr:uid="{F19DC157-ADBC-4146-BDCF-C8D8F468D99F}"/>
    <cellStyle name="Normal 51 2 3" xfId="661" xr:uid="{A9DE4A2D-082D-4235-9173-BB816F6C3717}"/>
    <cellStyle name="Normal 51 2 3 2" xfId="1558" xr:uid="{96C0592D-0F84-4EF1-A693-BE3081A15C77}"/>
    <cellStyle name="Normal 51 2 4" xfId="1112" xr:uid="{CB450323-CCB5-4CE7-90FE-BA0EB4B5F597}"/>
    <cellStyle name="Normal 51 3" xfId="347" xr:uid="{CBDCD025-1B50-4C2E-82DE-BF31FC1C8EA4}"/>
    <cellStyle name="Normal 51 3 2" xfId="797" xr:uid="{1CC0B87F-4923-44CD-B8C3-46548E1A64C6}"/>
    <cellStyle name="Normal 51 3 2 2" xfId="1694" xr:uid="{69C20E48-168D-4059-8CB7-5AD146106293}"/>
    <cellStyle name="Normal 51 3 3" xfId="1248" xr:uid="{AE4F8980-D207-437A-88DE-5C24FE1E6CC4}"/>
    <cellStyle name="Normal 51 4" xfId="574" xr:uid="{10971CFD-1572-43AA-877B-A5056DA7977A}"/>
    <cellStyle name="Normal 51 4 2" xfId="1471" xr:uid="{301DA4EA-E058-45AA-9422-EC0E656F0ADD}"/>
    <cellStyle name="Normal 51 5" xfId="1025" xr:uid="{537948C8-2EB5-41C4-8012-49F51444C353}"/>
    <cellStyle name="Normal 52" xfId="120" xr:uid="{6EEE07CE-0624-446F-BC28-8E922E3F97DD}"/>
    <cellStyle name="Normal 52 2" xfId="211" xr:uid="{4F673EEB-6CA8-4CA9-B71F-5AC4312910DE}"/>
    <cellStyle name="Normal 52 2 2" xfId="436" xr:uid="{C0DF67EE-8632-45EA-9874-A0FD92E0C018}"/>
    <cellStyle name="Normal 52 2 2 2" xfId="886" xr:uid="{0244A9E1-9E10-46CE-883A-0706DD2CF3B2}"/>
    <cellStyle name="Normal 52 2 2 2 2" xfId="1783" xr:uid="{19498E34-0FE5-4CD6-A4D6-35EAFB685C2A}"/>
    <cellStyle name="Normal 52 2 2 3" xfId="1337" xr:uid="{587FE986-A117-474C-987B-902E6B3DF714}"/>
    <cellStyle name="Normal 52 2 3" xfId="663" xr:uid="{7C4F3926-5C41-464E-AF81-FAB1483C90FD}"/>
    <cellStyle name="Normal 52 2 3 2" xfId="1560" xr:uid="{F3F1B442-42D2-48D6-87BC-73BC8C21B483}"/>
    <cellStyle name="Normal 52 2 4" xfId="1114" xr:uid="{2F19B24F-DDEF-4D3B-8D0F-77DB257B2A20}"/>
    <cellStyle name="Normal 52 3" xfId="349" xr:uid="{4EAF89B9-9763-4A5A-9F64-E521F8112AD1}"/>
    <cellStyle name="Normal 52 3 2" xfId="799" xr:uid="{8C50C459-CC03-44B1-80E7-D6C2D0D9FC17}"/>
    <cellStyle name="Normal 52 3 2 2" xfId="1696" xr:uid="{525FE445-2D2B-4FF4-BE1F-18E2CF15F511}"/>
    <cellStyle name="Normal 52 3 3" xfId="1250" xr:uid="{AFCB6356-3FA7-4C97-A790-3435B4982F59}"/>
    <cellStyle name="Normal 52 4" xfId="576" xr:uid="{84A232FB-F669-4336-924A-40D032B1AF61}"/>
    <cellStyle name="Normal 52 4 2" xfId="1473" xr:uid="{28921726-25D4-4E64-8E55-4CBA167A5D29}"/>
    <cellStyle name="Normal 52 5" xfId="1027" xr:uid="{056CF220-6A7D-4E23-99C6-251E9419A7B3}"/>
    <cellStyle name="Normal 53" xfId="122" xr:uid="{340D2563-B432-444F-9771-6864301C9340}"/>
    <cellStyle name="Normal 54" xfId="121" xr:uid="{96AA2BEA-57E7-4B54-A8DC-47CE098913DE}"/>
    <cellStyle name="Normal 54 2" xfId="350" xr:uid="{DB9DC245-FEB9-47BA-8CD6-EEB6FCB99699}"/>
    <cellStyle name="Normal 54 2 2" xfId="800" xr:uid="{FE421B06-42DA-437F-8768-7A01956F93DA}"/>
    <cellStyle name="Normal 54 2 2 2" xfId="1697" xr:uid="{F8A0A7E7-0E74-42D3-A378-E677A5886906}"/>
    <cellStyle name="Normal 54 2 3" xfId="1251" xr:uid="{5E019E54-0211-40CE-9160-72EC5FA8091B}"/>
    <cellStyle name="Normal 54 3" xfId="577" xr:uid="{E334AFB4-6CB0-4CCA-85D6-27DA4D3E0E52}"/>
    <cellStyle name="Normal 54 3 2" xfId="1474" xr:uid="{D52293E9-6FE2-4B10-98D2-CED12F6E2EC6}"/>
    <cellStyle name="Normal 54 4" xfId="1028" xr:uid="{F3572F49-415E-4746-95CC-406195F9A1A0}"/>
    <cellStyle name="Normal 55" xfId="212" xr:uid="{22FAECAB-E30B-4667-B009-A87DF59E8667}"/>
    <cellStyle name="Normal 55 2" xfId="437" xr:uid="{D99B77B2-E19B-4A2D-9696-594344700D18}"/>
    <cellStyle name="Normal 55 2 2" xfId="887" xr:uid="{11B8B108-9355-404C-84B3-B38CE3012480}"/>
    <cellStyle name="Normal 55 2 2 2" xfId="1784" xr:uid="{2A02EEFC-48BC-4505-9CAD-9ABDD401F299}"/>
    <cellStyle name="Normal 55 2 3" xfId="1338" xr:uid="{5AE5950F-9D91-4935-84E2-4D83091D8390}"/>
    <cellStyle name="Normal 55 3" xfId="664" xr:uid="{9253E882-8F3C-4EE2-88D3-C6906B96B335}"/>
    <cellStyle name="Normal 55 3 2" xfId="1561" xr:uid="{230960F8-B56D-4B54-BD7D-3F1C285C143D}"/>
    <cellStyle name="Normal 55 4" xfId="1115" xr:uid="{3B13097E-BF0F-4AD0-9616-EB4FAE991751}"/>
    <cellStyle name="Normal 56" xfId="223" xr:uid="{0B30A95D-FD02-494E-BBA9-45B83F2707F4}"/>
    <cellStyle name="Normal 56 2" xfId="446" xr:uid="{476DF1A9-6F96-4E32-BA9D-E639723B0470}"/>
    <cellStyle name="Normal 56 2 2" xfId="896" xr:uid="{87315345-592E-47F9-A81A-A63074B828F3}"/>
    <cellStyle name="Normal 56 2 2 2" xfId="1793" xr:uid="{6C856763-3498-441C-BD71-2A8AEFDEEA80}"/>
    <cellStyle name="Normal 56 2 3" xfId="1347" xr:uid="{C8F952B6-B744-42B3-9517-A0A5356CB629}"/>
    <cellStyle name="Normal 56 3" xfId="673" xr:uid="{B94B8B7D-32A2-4070-A77C-E8B557759D27}"/>
    <cellStyle name="Normal 56 3 2" xfId="1570" xr:uid="{C13AF6BC-CC4C-4E5E-909D-9CEC23D102CC}"/>
    <cellStyle name="Normal 56 4" xfId="1124" xr:uid="{508B1823-AD45-4DCB-9CED-6D9F78E01268}"/>
    <cellStyle name="Normal 57" xfId="232" xr:uid="{9028ED27-00CC-421A-A55B-E2A9DC62EE83}"/>
    <cellStyle name="Normal 57 2" xfId="455" xr:uid="{51C423D6-4BD4-4C99-80B0-A01A1AD7AFCF}"/>
    <cellStyle name="Normal 57 2 2" xfId="905" xr:uid="{89B274A0-D692-4A69-8B1F-42542374D486}"/>
    <cellStyle name="Normal 57 2 2 2" xfId="1802" xr:uid="{C95ACCB1-028E-4B04-ADFA-068B5CEB5E58}"/>
    <cellStyle name="Normal 57 2 3" xfId="1356" xr:uid="{3B90B4F4-5010-4990-A8B0-FDC783A2D765}"/>
    <cellStyle name="Normal 57 3" xfId="682" xr:uid="{DC1916C5-458F-4D7D-A214-24CF7195B9DA}"/>
    <cellStyle name="Normal 57 3 2" xfId="1579" xr:uid="{5D0D94BF-92F2-430C-8986-20BA5FCF5BA3}"/>
    <cellStyle name="Normal 57 4" xfId="1133" xr:uid="{52317AD6-AB5E-4C81-AEAB-1CC96E4AAB5D}"/>
    <cellStyle name="Normal 58" xfId="233" xr:uid="{A3A2D886-E55A-452E-ACEA-89373C1A0CE9}"/>
    <cellStyle name="Normal 58 2" xfId="456" xr:uid="{16143FDE-2834-45B0-B399-6A3BF7C2BDA4}"/>
    <cellStyle name="Normal 58 2 2" xfId="906" xr:uid="{A11DA795-B99D-4BB1-9247-E8FA368552B2}"/>
    <cellStyle name="Normal 58 2 2 2" xfId="1803" xr:uid="{66C53487-86D6-4FA8-82EA-536D66B68F27}"/>
    <cellStyle name="Normal 58 2 3" xfId="1357" xr:uid="{CC8079A8-9330-4BE3-86A0-1DBD84052EC5}"/>
    <cellStyle name="Normal 58 3" xfId="683" xr:uid="{7882929B-BC1C-491E-8AFB-F18AED79303E}"/>
    <cellStyle name="Normal 58 3 2" xfId="1580" xr:uid="{ED3D62A9-9E12-4C14-918C-EC3AE5AFA049}"/>
    <cellStyle name="Normal 58 4" xfId="1134" xr:uid="{DB7E6597-9827-4445-8371-9493B3CE3F2A}"/>
    <cellStyle name="Normal 59" xfId="236" xr:uid="{EF45F508-FE6E-474D-8F9D-E45D8209EDC2}"/>
    <cellStyle name="Normal 59 2" xfId="459" xr:uid="{54BB6C64-EE83-4980-BA9C-6E17E8176B2F}"/>
    <cellStyle name="Normal 59 2 2" xfId="909" xr:uid="{C345FBD7-B7E5-402E-A828-24F31CEE149D}"/>
    <cellStyle name="Normal 59 2 2 2" xfId="1806" xr:uid="{DF47FFD6-B041-4EFA-9E2E-1F0319E349CF}"/>
    <cellStyle name="Normal 59 2 3" xfId="1360" xr:uid="{04F0AFC3-E6AE-4D81-9B68-DD73EC7FCD61}"/>
    <cellStyle name="Normal 59 3" xfId="686" xr:uid="{C7BDFAD1-E6E1-4715-8788-5C51CF046464}"/>
    <cellStyle name="Normal 59 3 2" xfId="1583" xr:uid="{1E6C7C69-0A2A-4E29-A808-0FCA9AE9069E}"/>
    <cellStyle name="Normal 59 4" xfId="1137" xr:uid="{44CCFA5E-A40D-441E-9C93-41880F671E75}"/>
    <cellStyle name="Normal 6" xfId="24" xr:uid="{00000000-0005-0000-0000-000018000000}"/>
    <cellStyle name="Normal 60" xfId="238" xr:uid="{1C5A64AC-EF04-4F7B-AA97-B576E4D5B035}"/>
    <cellStyle name="Normal 60 2" xfId="461" xr:uid="{CE9B925D-F1CD-449D-9015-1D96C05DAC0C}"/>
    <cellStyle name="Normal 60 2 2" xfId="911" xr:uid="{5F159C89-75C5-4313-A2C7-7233AE0830F8}"/>
    <cellStyle name="Normal 60 2 2 2" xfId="1808" xr:uid="{40B66055-45C7-4BE4-A4E9-993D95D853CD}"/>
    <cellStyle name="Normal 60 2 3" xfId="1362" xr:uid="{A51078A0-3BDB-4B90-98FB-BF56C57F3718}"/>
    <cellStyle name="Normal 60 3" xfId="688" xr:uid="{6EF241C5-05BA-47D7-9338-E06D4DD53E67}"/>
    <cellStyle name="Normal 60 3 2" xfId="1585" xr:uid="{54073367-47CF-4ECB-8257-5136C915B16E}"/>
    <cellStyle name="Normal 60 4" xfId="1139" xr:uid="{CAB65ABF-F96E-49A5-A169-916D74B3EF08}"/>
    <cellStyle name="Normal 61" xfId="240" xr:uid="{8B786B94-908E-4899-AE3D-FE83562F1647}"/>
    <cellStyle name="Normal 61 2" xfId="463" xr:uid="{56B58060-9506-441C-A3E7-9D774A3CC4F5}"/>
    <cellStyle name="Normal 61 2 2" xfId="913" xr:uid="{466C62A0-5E9B-4B2F-B700-61237ABDC30B}"/>
    <cellStyle name="Normal 61 2 2 2" xfId="1810" xr:uid="{CD9B3765-7FB3-4A10-A5C4-21D5A6013F8A}"/>
    <cellStyle name="Normal 61 2 3" xfId="1364" xr:uid="{16E2C0D4-F059-4D6B-82CC-C7D5AC7F096C}"/>
    <cellStyle name="Normal 61 3" xfId="690" xr:uid="{7974EC79-E9BA-4E4E-9B93-54A5198CEC30}"/>
    <cellStyle name="Normal 61 3 2" xfId="1587" xr:uid="{CE8E4537-0C4D-4DEB-8FFD-68158F626C4B}"/>
    <cellStyle name="Normal 61 4" xfId="1141" xr:uid="{40A46334-8B65-4E8A-8526-E78EF44E5C4A}"/>
    <cellStyle name="Normal 62" xfId="241" xr:uid="{D8024FFD-C71A-48A4-B0E1-15C48B93D1EB}"/>
    <cellStyle name="Normal 62 2" xfId="464" xr:uid="{D1E6BE88-9911-4827-A551-CB6BA2E8C3BB}"/>
    <cellStyle name="Normal 62 2 2" xfId="914" xr:uid="{0996225B-C161-4CD8-AE04-306C9082CA77}"/>
    <cellStyle name="Normal 62 2 2 2" xfId="1811" xr:uid="{4343F99F-7D5B-4BD2-8544-A6C539685E87}"/>
    <cellStyle name="Normal 62 2 3" xfId="1365" xr:uid="{5C4DC07C-2033-4F7B-A76E-2DA75539825F}"/>
    <cellStyle name="Normal 62 3" xfId="691" xr:uid="{18ABE1E8-4CDE-4E36-AF4A-2E449CB43744}"/>
    <cellStyle name="Normal 62 3 2" xfId="1588" xr:uid="{AAF6EA4D-B713-40A5-BD0D-8DA61CF06EC9}"/>
    <cellStyle name="Normal 62 4" xfId="1142" xr:uid="{33B14E5B-17A3-4979-AA40-551DDF34D60F}"/>
    <cellStyle name="Normal 63" xfId="243" xr:uid="{7AEEA671-4034-4C56-8113-FAF7EF8E0B67}"/>
    <cellStyle name="Normal 63 2" xfId="466" xr:uid="{702915B8-0D64-4D8B-AA84-D39D8B173F76}"/>
    <cellStyle name="Normal 63 2 2" xfId="916" xr:uid="{A2FACAC1-2C2A-4B47-95AE-EF5932F468D2}"/>
    <cellStyle name="Normal 63 2 2 2" xfId="1813" xr:uid="{3EFDA481-9F24-4EFD-A7AB-6AED4481F189}"/>
    <cellStyle name="Normal 63 2 3" xfId="1367" xr:uid="{9C503440-1AA4-4BB8-B2CB-BCB8CF94E77C}"/>
    <cellStyle name="Normal 63 3" xfId="693" xr:uid="{D90D305E-6B86-4328-899C-197BF5E31B16}"/>
    <cellStyle name="Normal 63 3 2" xfId="1590" xr:uid="{A64D85A4-3F5A-4F2A-ADF1-A3DAE400C5F5}"/>
    <cellStyle name="Normal 63 4" xfId="1144" xr:uid="{34272606-3390-4B1E-8FCF-96E8EABE5FEB}"/>
    <cellStyle name="Normal 64" xfId="244" xr:uid="{6CDF62EB-1EFB-40D1-B1FE-3272BC124CDB}"/>
    <cellStyle name="Normal 64 2" xfId="467" xr:uid="{B40E99F3-F5A3-4628-9BB7-B0BA03108499}"/>
    <cellStyle name="Normal 64 2 2" xfId="917" xr:uid="{2C68A743-ECB5-4EEC-A665-1D06C073BCD8}"/>
    <cellStyle name="Normal 64 2 2 2" xfId="1814" xr:uid="{75896341-DCC4-4996-BD0F-EC95B014B679}"/>
    <cellStyle name="Normal 64 2 3" xfId="1368" xr:uid="{E1EE7074-7886-42B5-9C6E-B0DDAF787278}"/>
    <cellStyle name="Normal 64 3" xfId="694" xr:uid="{C3B15BEF-58BE-4AC5-8CC9-8A70F5E9A660}"/>
    <cellStyle name="Normal 64 3 2" xfId="1591" xr:uid="{42E4AB5F-736B-4ABC-A0D2-19128269A07A}"/>
    <cellStyle name="Normal 64 4" xfId="1145" xr:uid="{AC6F826E-0FAB-4667-8D9F-4232D622C0EC}"/>
    <cellStyle name="Normal 65" xfId="246" xr:uid="{DA81AFA8-0578-4770-B749-563F4EE1342B}"/>
    <cellStyle name="Normal 65 2" xfId="469" xr:uid="{0AF817F5-A01D-460B-89BF-5AC6E636E4E0}"/>
    <cellStyle name="Normal 65 2 2" xfId="919" xr:uid="{B25FA2BD-4B4F-4F5C-B4EA-1BED383CC258}"/>
    <cellStyle name="Normal 65 2 2 2" xfId="1816" xr:uid="{6E3F855E-4D6A-4171-90DE-1225B0F1A739}"/>
    <cellStyle name="Normal 65 2 3" xfId="1370" xr:uid="{A2F1ABE9-8CC9-4E05-9F47-FDFD68373610}"/>
    <cellStyle name="Normal 65 3" xfId="696" xr:uid="{45C29B90-BE10-46AD-B524-D5AC408360EF}"/>
    <cellStyle name="Normal 65 3 2" xfId="1593" xr:uid="{13B31EFA-F4B9-44C8-BE62-C885F32433EE}"/>
    <cellStyle name="Normal 65 4" xfId="1147" xr:uid="{896B550E-47AE-44DA-BB7E-E39A58B808BA}"/>
    <cellStyle name="Normal 66" xfId="247" xr:uid="{F6B10F23-1D98-41E5-88EE-0D77A67DD1D3}"/>
    <cellStyle name="Normal 66 2" xfId="470" xr:uid="{5CD2AA26-5178-4D3E-8A7D-237CFC187AF4}"/>
    <cellStyle name="Normal 66 2 2" xfId="920" xr:uid="{E83F6054-79C0-4D50-8ADB-A041D1E28BBC}"/>
    <cellStyle name="Normal 66 2 2 2" xfId="1817" xr:uid="{15F80791-0365-4CF8-BA0A-8CBCCD605698}"/>
    <cellStyle name="Normal 66 2 3" xfId="1371" xr:uid="{9758380D-BAD2-438D-9917-B24537C2E48E}"/>
    <cellStyle name="Normal 66 3" xfId="697" xr:uid="{E2DE4E6D-CC02-44FD-BDD2-895720E892A2}"/>
    <cellStyle name="Normal 66 3 2" xfId="1594" xr:uid="{97F38C92-059A-4400-8C75-FBCDC7689D15}"/>
    <cellStyle name="Normal 66 4" xfId="1148" xr:uid="{8AEF6810-E8DC-43FA-9424-245F7B216D02}"/>
    <cellStyle name="Normal 67" xfId="256" xr:uid="{0F47A3AD-5F5A-4E12-97B3-A67EDC3BA1BE}"/>
    <cellStyle name="Normal 67 2" xfId="479" xr:uid="{3A001846-BA6B-4ECB-A066-4FC4B880F8D9}"/>
    <cellStyle name="Normal 67 2 2" xfId="929" xr:uid="{4F788472-C7FC-453C-A313-DB0CC0F49073}"/>
    <cellStyle name="Normal 67 2 2 2" xfId="1826" xr:uid="{426D86A1-395D-43E8-B814-6AA5596DE5A0}"/>
    <cellStyle name="Normal 67 2 3" xfId="1380" xr:uid="{A1F55A62-E1B7-458F-BBE4-8DFFD36FB289}"/>
    <cellStyle name="Normal 67 3" xfId="706" xr:uid="{D0DB2686-0483-4717-86D0-8203D1BA1BE1}"/>
    <cellStyle name="Normal 67 3 2" xfId="1603" xr:uid="{F6C0A72B-DFE3-4EA9-85EA-A31DF404C18C}"/>
    <cellStyle name="Normal 67 4" xfId="1157" xr:uid="{FA7D2793-DC28-4589-B8F4-04CB7BCB8325}"/>
    <cellStyle name="Normal 68" xfId="258" xr:uid="{66FE925A-BDF4-42C5-8426-FAA490D4CB49}"/>
    <cellStyle name="Normal 68 2" xfId="481" xr:uid="{F56B4D87-EA3C-4992-812A-E8BC03BB3A38}"/>
    <cellStyle name="Normal 68 2 2" xfId="931" xr:uid="{35E5C9B5-37B9-43AA-8775-E16B262A7B6F}"/>
    <cellStyle name="Normal 68 2 2 2" xfId="1828" xr:uid="{5C4310CA-07BD-4575-B81A-1F0591DE06C3}"/>
    <cellStyle name="Normal 68 2 3" xfId="1382" xr:uid="{3017C9D0-3646-4011-9CCF-8087D5AA1624}"/>
    <cellStyle name="Normal 68 3" xfId="708" xr:uid="{DCCF1BD7-DA55-4394-A884-5C130087BAA4}"/>
    <cellStyle name="Normal 68 3 2" xfId="1605" xr:uid="{2A6E18B3-5CA2-459B-9B15-6AA25247CBD3}"/>
    <cellStyle name="Normal 68 4" xfId="1159" xr:uid="{BA5D3ABB-B663-4920-A533-FDDB268FDD17}"/>
    <cellStyle name="Normal 69" xfId="260" xr:uid="{8C180A76-A532-4162-A6BC-7DABE911981F}"/>
    <cellStyle name="Normal 69 2" xfId="710" xr:uid="{4F95CD09-1DE9-4334-8DBA-336FEAE73AB9}"/>
    <cellStyle name="Normal 69 2 2" xfId="1607" xr:uid="{E24A0B1C-0619-4A8B-838B-52B4D179A46E}"/>
    <cellStyle name="Normal 69 3" xfId="1161" xr:uid="{CB81CBC8-D8A2-485C-9AD2-5BFBDF486381}"/>
    <cellStyle name="Normal 7" xfId="25" xr:uid="{00000000-0005-0000-0000-000019000000}"/>
    <cellStyle name="Normal 70" xfId="261" xr:uid="{3DC512AD-9CD0-47CA-A2E1-7B9413FDA174}"/>
    <cellStyle name="Normal 70 2" xfId="711" xr:uid="{69595DF1-9521-4099-B18D-A33DB9B3B703}"/>
    <cellStyle name="Normal 70 2 2" xfId="1608" xr:uid="{B283F952-528B-4B18-A23B-7B38698AA07A}"/>
    <cellStyle name="Normal 70 3" xfId="1162" xr:uid="{8E5BAADF-9DB0-40D3-A303-E34E0D4CF9B6}"/>
    <cellStyle name="Normal 71" xfId="262" xr:uid="{214ADB9B-D6D1-4814-92F9-FD6CA2BF14CE}"/>
    <cellStyle name="Normal 71 2" xfId="712" xr:uid="{BFF54464-759A-45AD-9B20-159F56BB6637}"/>
    <cellStyle name="Normal 71 2 2" xfId="1609" xr:uid="{2B1AA55D-CCA2-433F-ADA9-FA11C3BCCA2A}"/>
    <cellStyle name="Normal 71 3" xfId="1163" xr:uid="{E6F6AF58-C13E-4F41-B4D7-D534DC9C69A7}"/>
    <cellStyle name="Normal 72" xfId="483" xr:uid="{BA1C15EA-DBCA-4D8A-960B-CA38894179EE}"/>
    <cellStyle name="Normal 72 2" xfId="935" xr:uid="{0A8BADF7-F995-44C5-9585-4CC30FDC0861}"/>
    <cellStyle name="Normal 72 3" xfId="933" xr:uid="{232A41E7-75F7-4CF8-903C-379D85A33B89}"/>
    <cellStyle name="Normal 72 3 2" xfId="1830" xr:uid="{83815648-5FE4-40CA-BDCB-DCF3957F86D6}"/>
    <cellStyle name="Normal 72 4" xfId="1384" xr:uid="{2ACB72D3-CA77-480C-9E91-CC56502EB036}"/>
    <cellStyle name="Normal 73" xfId="484" xr:uid="{F7B701AB-67A1-474C-97E1-190420753276}"/>
    <cellStyle name="Normal 73 2" xfId="934" xr:uid="{B2F1A4F5-326A-44FB-8459-798854B9A00A}"/>
    <cellStyle name="Normal 73 2 2" xfId="1831" xr:uid="{24276BE3-AA4C-4B46-AD97-86426C135962}"/>
    <cellStyle name="Normal 73 3" xfId="1385" xr:uid="{DB91AEDB-37D8-4195-822F-9D386F4BC9FE}"/>
    <cellStyle name="Normal 74" xfId="487" xr:uid="{25C6637D-6CB1-4B9C-A076-69319A75C4E0}"/>
    <cellStyle name="Normal 75" xfId="485" xr:uid="{088040E0-748F-4D0D-BD3C-FE7945B07046}"/>
    <cellStyle name="Normal 75 2" xfId="1386" xr:uid="{D31F918B-F064-4CFC-86E5-F900B9AE7E20}"/>
    <cellStyle name="Normal 76" xfId="936" xr:uid="{89B1F736-0090-44A2-81C9-86DB32858D00}"/>
    <cellStyle name="Normal 76 2" xfId="1832" xr:uid="{D247F223-F195-426A-8991-3213BFBCCE33}"/>
    <cellStyle name="Normal 77" xfId="937" xr:uid="{C918F7C8-97B8-485D-9E72-4DA2518ACA97}"/>
    <cellStyle name="Normal 78" xfId="938" xr:uid="{CA473E8A-2B38-4B5E-B218-339A38CE085A}"/>
    <cellStyle name="Normal 79" xfId="1833" xr:uid="{24B7668D-1BCD-4C9F-87D5-F17A2B2B9625}"/>
    <cellStyle name="Normal 8" xfId="26" xr:uid="{00000000-0005-0000-0000-00001A000000}"/>
    <cellStyle name="Normal 80" xfId="1834" xr:uid="{995A4836-E14F-4B19-928A-40AF9C8F9C72}"/>
    <cellStyle name="Normal 81" xfId="1835" xr:uid="{50BA11DF-4EB0-4CE7-9958-FFB127F445ED}"/>
    <cellStyle name="Normal 82" xfId="1836" xr:uid="{D466673D-B82D-458F-9EBD-3F131A08D778}"/>
    <cellStyle name="Normal 83" xfId="1837" xr:uid="{7627A91E-458E-4A16-A2E6-82B1CF5D3778}"/>
    <cellStyle name="Normal 84" xfId="1839" xr:uid="{89E3F1BB-193C-446C-A244-1F2D99BD69B3}"/>
    <cellStyle name="Normal 85" xfId="1841" xr:uid="{BED02748-59A1-4BE5-BA51-F99219D24448}"/>
    <cellStyle name="Normal 86" xfId="1842" xr:uid="{7AF0B37E-472A-497C-8061-E6DF9283FACD}"/>
    <cellStyle name="Normal 9" xfId="27" xr:uid="{00000000-0005-0000-0000-00001B000000}"/>
    <cellStyle name="Normal 9 2" xfId="28" xr:uid="{00000000-0005-0000-0000-00001C000000}"/>
    <cellStyle name="Notas 2" xfId="29" xr:uid="{00000000-0005-0000-0000-00001D000000}"/>
    <cellStyle name="Notas 3" xfId="30" xr:uid="{00000000-0005-0000-0000-00001E000000}"/>
    <cellStyle name="Notas 3 2" xfId="53" xr:uid="{510070E2-7F9B-4A88-A7AE-8D34DB12ADC5}"/>
    <cellStyle name="Notas 3 2 2" xfId="147" xr:uid="{B5F14D3E-5F56-44CA-8AC2-272836168F0B}"/>
    <cellStyle name="Notas 3 2 2 2" xfId="372" xr:uid="{24E044FC-6911-4882-9BFE-CBE919848AF7}"/>
    <cellStyle name="Notas 3 2 2 2 2" xfId="822" xr:uid="{F53903CB-AC4F-402D-9551-B52A75B7E3A6}"/>
    <cellStyle name="Notas 3 2 2 2 2 2" xfId="1719" xr:uid="{8C344F78-4354-4D66-8C2B-C7F77FCAD884}"/>
    <cellStyle name="Notas 3 2 2 2 3" xfId="1273" xr:uid="{674E83D1-C4B0-4B60-87FB-5A2DC4B241B8}"/>
    <cellStyle name="Notas 3 2 2 3" xfId="599" xr:uid="{2DF6EA6E-D86C-4F9E-B6D5-F955CE4A4F0A}"/>
    <cellStyle name="Notas 3 2 2 3 2" xfId="1496" xr:uid="{259A19CE-559E-4B5F-9093-B8CB5E072998}"/>
    <cellStyle name="Notas 3 2 2 4" xfId="1050" xr:uid="{ECA87C41-7662-452D-A3CE-E76AFA7EA83D}"/>
    <cellStyle name="Notas 3 2 3" xfId="285" xr:uid="{A2EA74DD-9D23-43F4-B39F-1F35E420FC5B}"/>
    <cellStyle name="Notas 3 2 3 2" xfId="735" xr:uid="{90243B7B-5B44-43D7-ADD6-3C159DEFF3D3}"/>
    <cellStyle name="Notas 3 2 3 2 2" xfId="1632" xr:uid="{4AA9123A-E983-41F3-9CBF-3981EAC539DE}"/>
    <cellStyle name="Notas 3 2 3 3" xfId="1186" xr:uid="{609A1ADE-4693-48D7-8949-D995943EED84}"/>
    <cellStyle name="Notas 3 2 4" xfId="512" xr:uid="{FAE5431E-FC41-4B13-A21E-8FB91E0E645E}"/>
    <cellStyle name="Notas 3 2 4 2" xfId="1409" xr:uid="{F96E760D-3517-4490-BAB6-6042F9506EDA}"/>
    <cellStyle name="Notas 3 2 5" xfId="963" xr:uid="{1F015415-CF6D-4101-A428-19A162ECA9CD}"/>
    <cellStyle name="Notas 3 3" xfId="129" xr:uid="{7C62F2DE-5A05-4D70-918B-AD85357D8CE9}"/>
    <cellStyle name="Notas 3 3 2" xfId="355" xr:uid="{01075560-DE8D-4C4D-898C-8CC3D27F2BED}"/>
    <cellStyle name="Notas 3 3 2 2" xfId="805" xr:uid="{CC9D89AF-AB87-4331-B196-74D230B254E9}"/>
    <cellStyle name="Notas 3 3 2 2 2" xfId="1702" xr:uid="{F41B345C-CBE0-4FBD-A335-CD73DFDD059C}"/>
    <cellStyle name="Notas 3 3 2 3" xfId="1256" xr:uid="{2D1F125D-B35D-4DF5-854C-B18DCD503A16}"/>
    <cellStyle name="Notas 3 3 3" xfId="582" xr:uid="{0C4DCD0E-3B9C-4917-A6C1-0FAA2E7EFACE}"/>
    <cellStyle name="Notas 3 3 3 2" xfId="1479" xr:uid="{0B298914-655E-4451-BCE9-1188682D90A5}"/>
    <cellStyle name="Notas 3 3 4" xfId="1033" xr:uid="{AF9CA49A-8436-47E4-A7D5-533AAC096A6D}"/>
    <cellStyle name="Notas 3 4" xfId="220" xr:uid="{B3D3832A-4181-42F3-BB7D-AE4359069659}"/>
    <cellStyle name="Notas 3 4 2" xfId="443" xr:uid="{20BE6769-D2B7-4470-A292-65C7F8839D83}"/>
    <cellStyle name="Notas 3 4 2 2" xfId="893" xr:uid="{A8FF0E6E-45E0-4325-ABAE-4DB8DFB9BCB4}"/>
    <cellStyle name="Notas 3 4 2 2 2" xfId="1790" xr:uid="{9E65D897-4C2F-438A-BCD3-AB2F81367043}"/>
    <cellStyle name="Notas 3 4 2 3" xfId="1344" xr:uid="{2AB270C3-A173-4C59-A6F6-F5FD32E37A8E}"/>
    <cellStyle name="Notas 3 4 3" xfId="670" xr:uid="{277F656E-444F-42F1-BA2E-EE8EE6A83084}"/>
    <cellStyle name="Notas 3 4 3 2" xfId="1567" xr:uid="{4E78F9C3-EC4B-49B6-A6E9-29E85FF9876F}"/>
    <cellStyle name="Notas 3 4 4" xfId="1121" xr:uid="{C921879E-6CBC-457F-BD41-D8A0B1ED450D}"/>
    <cellStyle name="Notas 3 5" xfId="229" xr:uid="{AEE5CEB4-9B65-4A84-93A0-7919DCC93146}"/>
    <cellStyle name="Notas 3 5 2" xfId="452" xr:uid="{F17291A7-9063-4B9F-8D42-5CC7299C5BA9}"/>
    <cellStyle name="Notas 3 5 2 2" xfId="902" xr:uid="{E7C1D0E6-1F89-4514-86B4-FCAF2375D4C6}"/>
    <cellStyle name="Notas 3 5 2 2 2" xfId="1799" xr:uid="{1F2364D7-B82B-4482-8828-6EFC5AC70A0B}"/>
    <cellStyle name="Notas 3 5 2 3" xfId="1353" xr:uid="{5D8B9597-61E8-4D2C-9F28-704D3D3D7FAE}"/>
    <cellStyle name="Notas 3 5 3" xfId="679" xr:uid="{CDE38C0E-04F6-4789-8257-F4DB9D26DFF9}"/>
    <cellStyle name="Notas 3 5 3 2" xfId="1576" xr:uid="{8BA01CA3-1600-42E7-94D8-E8CA4E7834F5}"/>
    <cellStyle name="Notas 3 5 4" xfId="1130" xr:uid="{3C11E7E6-A3B7-41A7-9785-C898DE81CB3C}"/>
    <cellStyle name="Notas 3 6" xfId="253" xr:uid="{0FDC18FA-B7C7-44BA-A17E-D5ACB15725C5}"/>
    <cellStyle name="Notas 3 6 2" xfId="476" xr:uid="{B1D08D15-73DD-4E65-8A2E-2C4E7B4C6ECC}"/>
    <cellStyle name="Notas 3 6 2 2" xfId="926" xr:uid="{25C94335-9BA3-4A9D-A153-5EED0CDA1422}"/>
    <cellStyle name="Notas 3 6 2 2 2" xfId="1823" xr:uid="{110CB42F-FB34-40F0-8FC2-9F5630712166}"/>
    <cellStyle name="Notas 3 6 2 3" xfId="1377" xr:uid="{9136A5A0-167D-48BB-9A62-30EBDD64D897}"/>
    <cellStyle name="Notas 3 6 3" xfId="703" xr:uid="{0A7E6EDC-7A33-424C-9B5B-6B6A145B2DBB}"/>
    <cellStyle name="Notas 3 6 3 2" xfId="1600" xr:uid="{C773113F-3D25-4909-B2D6-B5A1DCBD0D21}"/>
    <cellStyle name="Notas 3 6 4" xfId="1154" xr:uid="{098E445A-0C5E-4187-8408-552AA33E88CB}"/>
    <cellStyle name="Notas 3 7" xfId="268" xr:uid="{98C39A90-A4FE-4A3C-AA95-B88F5E2B34AC}"/>
    <cellStyle name="Notas 3 7 2" xfId="718" xr:uid="{B7931B2F-F0FD-4D8B-A94E-BE5C87AD4900}"/>
    <cellStyle name="Notas 3 7 2 2" xfId="1615" xr:uid="{42B93AE2-DC36-4986-81C3-8AF6480AFE22}"/>
    <cellStyle name="Notas 3 7 3" xfId="1169" xr:uid="{55A924A5-FA8D-4681-89EA-3DA90DDEF0E0}"/>
    <cellStyle name="Notas 3 8" xfId="494" xr:uid="{A9B1B5E0-54FF-47E3-BAFF-B048D220EB91}"/>
    <cellStyle name="Notas 3 8 2" xfId="1392" xr:uid="{0943C32B-80FB-486A-9224-89CF323C0AF7}"/>
    <cellStyle name="Notas 3 9" xfId="945" xr:uid="{5366D6F7-5767-462A-B1EB-4C47F65A5A87}"/>
    <cellStyle name="Porcentaje" xfId="43" builtinId="5"/>
    <cellStyle name="Porcentaje 2" xfId="31" xr:uid="{00000000-0005-0000-0000-00001F000000}"/>
    <cellStyle name="Porcentaje 2 2" xfId="54" xr:uid="{C1EE2176-2734-455F-9339-7690A795A6E8}"/>
    <cellStyle name="Porcentaje 2 2 2" xfId="148" xr:uid="{DF1B9A60-6850-44DE-96AE-290DDE9B3772}"/>
    <cellStyle name="Porcentaje 2 2 2 2" xfId="373" xr:uid="{B659046D-A39C-46ED-A0E0-E5B463742DF3}"/>
    <cellStyle name="Porcentaje 2 2 2 2 2" xfId="823" xr:uid="{F39C9978-6B2B-4A9E-813B-ACCE1D70544B}"/>
    <cellStyle name="Porcentaje 2 2 2 2 2 2" xfId="1720" xr:uid="{9AE7A941-724D-4CD0-B06E-8D11B5C98190}"/>
    <cellStyle name="Porcentaje 2 2 2 2 3" xfId="1274" xr:uid="{1054DE72-D3C2-405A-AE5B-5A8DC6DDCEF9}"/>
    <cellStyle name="Porcentaje 2 2 2 3" xfId="600" xr:uid="{8B9E6BD8-BEEC-4F90-9F06-153440D46D6A}"/>
    <cellStyle name="Porcentaje 2 2 2 3 2" xfId="1497" xr:uid="{45186CC9-AFC1-41A0-A408-D916E7A7F22A}"/>
    <cellStyle name="Porcentaje 2 2 2 4" xfId="1051" xr:uid="{545D6EA3-381B-46CF-8703-0FCDE7B08255}"/>
    <cellStyle name="Porcentaje 2 2 3" xfId="286" xr:uid="{E458059B-4A61-415C-9697-0FAF73AA4E18}"/>
    <cellStyle name="Porcentaje 2 2 3 2" xfId="736" xr:uid="{A2FFF943-1D22-4E3A-A33D-5197A852B658}"/>
    <cellStyle name="Porcentaje 2 2 3 2 2" xfId="1633" xr:uid="{78D92BB5-513D-4391-A357-9CC42A2CD75D}"/>
    <cellStyle name="Porcentaje 2 2 3 3" xfId="1187" xr:uid="{934372B9-7075-4D01-B563-079C1DA90476}"/>
    <cellStyle name="Porcentaje 2 2 4" xfId="513" xr:uid="{3BC6915D-BCD6-4A8E-80E1-041B041AFD39}"/>
    <cellStyle name="Porcentaje 2 2 4 2" xfId="1410" xr:uid="{F4EA915B-DA55-4C53-A20D-9AD63153729E}"/>
    <cellStyle name="Porcentaje 2 2 5" xfId="964" xr:uid="{0CF8CBB1-BF58-497D-8D5F-CF823D08F81D}"/>
    <cellStyle name="Porcentaje 2 3" xfId="130" xr:uid="{691668FD-2CC0-44FB-B239-A9181D795A95}"/>
    <cellStyle name="Porcentaje 2 3 2" xfId="356" xr:uid="{424B97BD-EA85-41EC-919E-667496D6045D}"/>
    <cellStyle name="Porcentaje 2 3 2 2" xfId="806" xr:uid="{02D8CADA-C0C2-42EB-A357-FBEFCE3D8B63}"/>
    <cellStyle name="Porcentaje 2 3 2 2 2" xfId="1703" xr:uid="{707F3B5B-0A12-423E-95B0-77FFC24CD96B}"/>
    <cellStyle name="Porcentaje 2 3 2 3" xfId="1257" xr:uid="{4B6E6CAE-9D29-447F-8CD8-EDB4C5DA3084}"/>
    <cellStyle name="Porcentaje 2 3 3" xfId="583" xr:uid="{BCC617B7-E2D1-44D1-BC95-802464C1D2C9}"/>
    <cellStyle name="Porcentaje 2 3 3 2" xfId="1480" xr:uid="{8CA50ED3-10CF-4255-B0E2-08323FBEA732}"/>
    <cellStyle name="Porcentaje 2 3 4" xfId="1034" xr:uid="{2FD39A9E-AD96-4505-805B-06D192A2C1B7}"/>
    <cellStyle name="Porcentaje 2 4" xfId="221" xr:uid="{E28AED5D-8501-49C3-99CF-D5CC2D151501}"/>
    <cellStyle name="Porcentaje 2 4 2" xfId="444" xr:uid="{F4F8B772-D717-440A-B62A-2AD22974C2AA}"/>
    <cellStyle name="Porcentaje 2 4 2 2" xfId="894" xr:uid="{0A4197CC-3BEA-44CC-9923-497AB0F17668}"/>
    <cellStyle name="Porcentaje 2 4 2 2 2" xfId="1791" xr:uid="{4AB6A636-C0FA-43D4-9664-B54C5F85B0CA}"/>
    <cellStyle name="Porcentaje 2 4 2 3" xfId="1345" xr:uid="{2055015A-7259-47AD-B8F9-2118D403843C}"/>
    <cellStyle name="Porcentaje 2 4 3" xfId="671" xr:uid="{F4AB18F5-F257-4892-8982-CE30D0F3E4C4}"/>
    <cellStyle name="Porcentaje 2 4 3 2" xfId="1568" xr:uid="{6EAA6E67-6CC6-4209-8E65-13D0FDB1B614}"/>
    <cellStyle name="Porcentaje 2 4 4" xfId="1122" xr:uid="{EAD8E345-4C1C-4E86-A350-64087ACD0D93}"/>
    <cellStyle name="Porcentaje 2 5" xfId="230" xr:uid="{D2700C39-DD6E-4A13-BADF-DC19E82A94AD}"/>
    <cellStyle name="Porcentaje 2 5 2" xfId="453" xr:uid="{01092336-9C5A-4241-843C-829E883575B5}"/>
    <cellStyle name="Porcentaje 2 5 2 2" xfId="903" xr:uid="{6911AD00-022C-47BC-B92C-93D5E98C974C}"/>
    <cellStyle name="Porcentaje 2 5 2 2 2" xfId="1800" xr:uid="{E0781107-16AA-41A6-A11E-D095F7A3073D}"/>
    <cellStyle name="Porcentaje 2 5 2 3" xfId="1354" xr:uid="{A5C448EC-25AE-48B6-B1C5-E28CF686A6D1}"/>
    <cellStyle name="Porcentaje 2 5 3" xfId="680" xr:uid="{21C82361-C5D2-4BE7-BCE6-116D6B958917}"/>
    <cellStyle name="Porcentaje 2 5 3 2" xfId="1577" xr:uid="{B0EA5C5E-B9C3-46F7-8A7B-4F8CD600F492}"/>
    <cellStyle name="Porcentaje 2 5 4" xfId="1131" xr:uid="{40065BC2-172B-4B19-9F09-C64A362BEDC3}"/>
    <cellStyle name="Porcentaje 2 6" xfId="254" xr:uid="{BD52DCFC-7C2E-445B-9EBD-5C7846046113}"/>
    <cellStyle name="Porcentaje 2 6 2" xfId="477" xr:uid="{BA24DBFB-670E-4C74-9C69-7A8B553FDB8B}"/>
    <cellStyle name="Porcentaje 2 6 2 2" xfId="927" xr:uid="{5908F8B3-D541-4404-AE8C-49734E81E33C}"/>
    <cellStyle name="Porcentaje 2 6 2 2 2" xfId="1824" xr:uid="{6A47DC2E-8BF6-43C1-A1EE-CB375F2A899E}"/>
    <cellStyle name="Porcentaje 2 6 2 3" xfId="1378" xr:uid="{EEFE5AD3-CB0D-4189-9671-E231C8AA87EB}"/>
    <cellStyle name="Porcentaje 2 6 3" xfId="704" xr:uid="{CCC8AE94-34C2-4DC7-A528-81C61559BE6F}"/>
    <cellStyle name="Porcentaje 2 6 3 2" xfId="1601" xr:uid="{2B1C6EDB-0B91-46A9-A798-87A1FED66557}"/>
    <cellStyle name="Porcentaje 2 6 4" xfId="1155" xr:uid="{DA3FF8A6-AEB0-45FC-8566-BBDADF624830}"/>
    <cellStyle name="Porcentaje 2 7" xfId="269" xr:uid="{DB60B0F8-30FE-41E5-A74C-C2B3147B1ED7}"/>
    <cellStyle name="Porcentaje 2 7 2" xfId="719" xr:uid="{C60A38AB-DD7B-436A-86C3-213E26C59AB9}"/>
    <cellStyle name="Porcentaje 2 7 2 2" xfId="1616" xr:uid="{BA9E4181-8368-461F-9DA5-00539B7D445D}"/>
    <cellStyle name="Porcentaje 2 7 3" xfId="1170" xr:uid="{F5581D30-42BB-4E04-8E35-6964A938EF8D}"/>
    <cellStyle name="Porcentaje 2 8" xfId="495" xr:uid="{EFF78312-BBD5-4A4E-84F8-1D4373AED06C}"/>
    <cellStyle name="Porcentaje 2 8 2" xfId="1393" xr:uid="{4A270FD3-82BF-480F-AC0A-BABF29660FAF}"/>
    <cellStyle name="Porcentaje 2 9" xfId="946" xr:uid="{050BA901-D27D-4C3C-9548-8F7C9FAE2DF6}"/>
    <cellStyle name="Porcentaje 3" xfId="64" xr:uid="{7BCF2219-F659-4C58-8683-05B7FA979DE7}"/>
    <cellStyle name="Porcentaje 4" xfId="140" xr:uid="{8FF4D8C9-856F-428D-8317-5846C1D22FB4}"/>
    <cellStyle name="Porcentaje 5" xfId="222" xr:uid="{18C5605D-A826-44BC-8D81-1C5A5215B79F}"/>
    <cellStyle name="Porcentaje 5 2" xfId="445" xr:uid="{D276B008-09DF-45A6-AFD3-C994D43F7626}"/>
    <cellStyle name="Porcentaje 5 2 2" xfId="895" xr:uid="{5AB9F310-7723-461F-8EF2-050C023670A7}"/>
    <cellStyle name="Porcentaje 5 2 2 2" xfId="1792" xr:uid="{7CC2C497-54D1-44E2-A6A0-1DB91E359F7D}"/>
    <cellStyle name="Porcentaje 5 2 3" xfId="1346" xr:uid="{A6426396-1B8A-4A29-945A-E16C892DE3E4}"/>
    <cellStyle name="Porcentaje 5 3" xfId="672" xr:uid="{2CC50F25-4E2B-4E8F-8CC5-4A723BDA4BB4}"/>
    <cellStyle name="Porcentaje 5 3 2" xfId="1569" xr:uid="{B7F37FDB-C738-4C6F-A2A6-6AE216A003A6}"/>
    <cellStyle name="Porcentaje 5 4" xfId="1123" xr:uid="{C0FE1E9A-D098-4786-A61C-F7AE19FDD644}"/>
    <cellStyle name="Porcentaje 6" xfId="231" xr:uid="{BA78F924-669A-4309-9ECD-7D041EE22FA4}"/>
    <cellStyle name="Porcentaje 6 2" xfId="454" xr:uid="{AB73340F-DFDB-49F9-A4EC-8EBF07AC81AB}"/>
    <cellStyle name="Porcentaje 6 2 2" xfId="904" xr:uid="{023E97C3-B4A3-46BB-BD8D-FF0452F36658}"/>
    <cellStyle name="Porcentaje 6 2 2 2" xfId="1801" xr:uid="{7F623749-5B7E-431E-9B4E-8FC9ABBCF857}"/>
    <cellStyle name="Porcentaje 6 2 3" xfId="1355" xr:uid="{5AC646FA-972C-4016-8B34-4AB8BAFAA3B0}"/>
    <cellStyle name="Porcentaje 6 3" xfId="681" xr:uid="{927A0490-E97D-493E-A396-ECF8ED27B143}"/>
    <cellStyle name="Porcentaje 6 3 2" xfId="1578" xr:uid="{FC2732B7-C999-4468-9CD3-247A8095207E}"/>
    <cellStyle name="Porcentaje 6 4" xfId="1132" xr:uid="{DE0A43B8-1AC6-4D6C-8F4E-B3905339D7AF}"/>
    <cellStyle name="Porcentaje 7" xfId="255" xr:uid="{02BE1856-F2E9-4B25-A3CB-E6BFE4F9AE24}"/>
    <cellStyle name="Porcentaje 7 2" xfId="478" xr:uid="{F940D6FE-9CD3-4F51-BA91-A6F7DDA95B96}"/>
    <cellStyle name="Porcentaje 7 2 2" xfId="928" xr:uid="{E94EB9DC-8A20-4E7D-9592-53CBF1439C60}"/>
    <cellStyle name="Porcentaje 7 2 2 2" xfId="1825" xr:uid="{8CBC0ED7-6D90-496D-A3F4-D3463106CC2C}"/>
    <cellStyle name="Porcentaje 7 2 3" xfId="1379" xr:uid="{41755E20-9C49-450B-9096-68557EA41846}"/>
    <cellStyle name="Porcentaje 7 3" xfId="705" xr:uid="{CF33E2DA-5319-42D5-BAD0-9041A7D2E4E3}"/>
    <cellStyle name="Porcentaje 7 3 2" xfId="1602" xr:uid="{BC5544E3-7D25-40C4-9487-8CE54BCB33B1}"/>
    <cellStyle name="Porcentaje 7 4" xfId="1156" xr:uid="{9C456B93-0DEB-4F0F-892B-43EE262F26AB}"/>
    <cellStyle name="Porcentaje 8" xfId="505" xr:uid="{FCC6B4E6-4559-4054-9481-5D3CF179678F}"/>
    <cellStyle name="Porcentaje 9" xfId="956" xr:uid="{D2A64E49-A62E-45E9-A0BB-EBB07D073F9F}"/>
    <cellStyle name="Título 4" xfId="32" xr:uid="{00000000-0005-0000-0000-000020000000}"/>
    <cellStyle name="Total" xfId="33" builtinId="25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92075</xdr:colOff>
      <xdr:row>4</xdr:row>
      <xdr:rowOff>97578</xdr:rowOff>
    </xdr:to>
    <xdr:pic>
      <xdr:nvPicPr>
        <xdr:cNvPr id="122639" name="Imagen 5">
          <a:extLst>
            <a:ext uri="{FF2B5EF4-FFF2-40B4-BE49-F238E27FC236}">
              <a16:creationId xmlns:a16="http://schemas.microsoft.com/office/drawing/2014/main" id="{FBB8FFAC-DAD7-B40B-D2EC-849F44E6C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971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383886</xdr:colOff>
      <xdr:row>54</xdr:row>
      <xdr:rowOff>108047</xdr:rowOff>
    </xdr:from>
    <xdr:to>
      <xdr:col>0</xdr:col>
      <xdr:colOff>2574063</xdr:colOff>
      <xdr:row>54</xdr:row>
      <xdr:rowOff>133957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EB648-15A2-4642-9AF7-FF90C6FB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86" y="12077797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555241</xdr:colOff>
      <xdr:row>60</xdr:row>
      <xdr:rowOff>146916</xdr:rowOff>
    </xdr:from>
    <xdr:to>
      <xdr:col>3</xdr:col>
      <xdr:colOff>173668</xdr:colOff>
      <xdr:row>60</xdr:row>
      <xdr:rowOff>172826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99C9B41-073E-4008-BCD3-CE5E31F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4491" y="13090333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783166</xdr:colOff>
      <xdr:row>54</xdr:row>
      <xdr:rowOff>95250</xdr:rowOff>
    </xdr:from>
    <xdr:to>
      <xdr:col>4</xdr:col>
      <xdr:colOff>1007806</xdr:colOff>
      <xdr:row>54</xdr:row>
      <xdr:rowOff>113540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7A992E-3BA1-4DE9-9342-FCAF7E68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4166" y="11715750"/>
          <a:ext cx="2182557" cy="18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914400</xdr:colOff>
      <xdr:row>1</xdr:row>
      <xdr:rowOff>238125</xdr:rowOff>
    </xdr:to>
    <xdr:pic>
      <xdr:nvPicPr>
        <xdr:cNvPr id="111142" name="Imagen 5">
          <a:extLst>
            <a:ext uri="{FF2B5EF4-FFF2-40B4-BE49-F238E27FC236}">
              <a16:creationId xmlns:a16="http://schemas.microsoft.com/office/drawing/2014/main" id="{4E642CD8-AE2F-6148-B158-8F827AD1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1981200</xdr:colOff>
      <xdr:row>2</xdr:row>
      <xdr:rowOff>228600</xdr:rowOff>
    </xdr:to>
    <xdr:pic>
      <xdr:nvPicPr>
        <xdr:cNvPr id="125042" name="Imagen 5">
          <a:extLst>
            <a:ext uri="{FF2B5EF4-FFF2-40B4-BE49-F238E27FC236}">
              <a16:creationId xmlns:a16="http://schemas.microsoft.com/office/drawing/2014/main" id="{E4A63FC3-962F-B871-4424-7086795C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1933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219075</xdr:rowOff>
    </xdr:from>
    <xdr:to>
      <xdr:col>2</xdr:col>
      <xdr:colOff>342900</xdr:colOff>
      <xdr:row>2</xdr:row>
      <xdr:rowOff>114300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F280ABA-122E-77FA-5818-1F29A79B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19075"/>
          <a:ext cx="1971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57150</xdr:rowOff>
    </xdr:from>
    <xdr:to>
      <xdr:col>1</xdr:col>
      <xdr:colOff>2162175</xdr:colOff>
      <xdr:row>2</xdr:row>
      <xdr:rowOff>9525</xdr:rowOff>
    </xdr:to>
    <xdr:pic>
      <xdr:nvPicPr>
        <xdr:cNvPr id="106032" name="Imagen 5">
          <a:extLst>
            <a:ext uri="{FF2B5EF4-FFF2-40B4-BE49-F238E27FC236}">
              <a16:creationId xmlns:a16="http://schemas.microsoft.com/office/drawing/2014/main" id="{D9A7D43C-C7F7-8B16-5F95-500BFD2E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2124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1503892</xdr:colOff>
      <xdr:row>2</xdr:row>
      <xdr:rowOff>8631</xdr:rowOff>
    </xdr:to>
    <xdr:pic>
      <xdr:nvPicPr>
        <xdr:cNvPr id="9" name="Imagen 5">
          <a:extLst>
            <a:ext uri="{FF2B5EF4-FFF2-40B4-BE49-F238E27FC236}">
              <a16:creationId xmlns:a16="http://schemas.microsoft.com/office/drawing/2014/main" id="{5B75407B-3ACC-8C68-0B55-3A33BB7E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3467" cy="637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1981200</xdr:colOff>
      <xdr:row>1</xdr:row>
      <xdr:rowOff>238125</xdr:rowOff>
    </xdr:to>
    <xdr:pic>
      <xdr:nvPicPr>
        <xdr:cNvPr id="128023" name="Imagen 5">
          <a:extLst>
            <a:ext uri="{FF2B5EF4-FFF2-40B4-BE49-F238E27FC236}">
              <a16:creationId xmlns:a16="http://schemas.microsoft.com/office/drawing/2014/main" id="{73FC42E7-D996-D5BA-6EBC-BDD778E3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476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1276350</xdr:colOff>
      <xdr:row>2</xdr:row>
      <xdr:rowOff>152400</xdr:rowOff>
    </xdr:to>
    <xdr:pic>
      <xdr:nvPicPr>
        <xdr:cNvPr id="107056" name="Imagen 5">
          <a:extLst>
            <a:ext uri="{FF2B5EF4-FFF2-40B4-BE49-F238E27FC236}">
              <a16:creationId xmlns:a16="http://schemas.microsoft.com/office/drawing/2014/main" id="{4062ED9C-56A0-1DCF-8E0B-298877DA6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914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2</xdr:row>
      <xdr:rowOff>95250</xdr:rowOff>
    </xdr:to>
    <xdr:pic>
      <xdr:nvPicPr>
        <xdr:cNvPr id="127045" name="Imagen 5">
          <a:extLst>
            <a:ext uri="{FF2B5EF4-FFF2-40B4-BE49-F238E27FC236}">
              <a16:creationId xmlns:a16="http://schemas.microsoft.com/office/drawing/2014/main" id="{6F3A6C53-FEA6-A70F-5EE3-BEFE770A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1609725</xdr:colOff>
      <xdr:row>3</xdr:row>
      <xdr:rowOff>9525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5846BA9-2CD3-4BD9-A901-BDF12478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19050</xdr:rowOff>
    </xdr:from>
    <xdr:to>
      <xdr:col>1</xdr:col>
      <xdr:colOff>1981200</xdr:colOff>
      <xdr:row>3</xdr:row>
      <xdr:rowOff>57150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146610C-2936-4B1B-8541-FA1B5946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0975"/>
          <a:ext cx="1704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200025</xdr:rowOff>
    </xdr:from>
    <xdr:to>
      <xdr:col>0</xdr:col>
      <xdr:colOff>2943225</xdr:colOff>
      <xdr:row>3</xdr:row>
      <xdr:rowOff>180975</xdr:rowOff>
    </xdr:to>
    <xdr:pic>
      <xdr:nvPicPr>
        <xdr:cNvPr id="123662" name="Imagen 5">
          <a:extLst>
            <a:ext uri="{FF2B5EF4-FFF2-40B4-BE49-F238E27FC236}">
              <a16:creationId xmlns:a16="http://schemas.microsoft.com/office/drawing/2014/main" id="{AF619B97-FC7E-6A3A-2280-40218540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2828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42</xdr:row>
      <xdr:rowOff>148167</xdr:rowOff>
    </xdr:from>
    <xdr:to>
      <xdr:col>0</xdr:col>
      <xdr:colOff>2690557</xdr:colOff>
      <xdr:row>42</xdr:row>
      <xdr:rowOff>166457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FD18B5-E56D-8A2E-9D04-F69CF0D8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9112250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3</xdr:col>
      <xdr:colOff>719666</xdr:colOff>
      <xdr:row>42</xdr:row>
      <xdr:rowOff>158749</xdr:rowOff>
    </xdr:from>
    <xdr:to>
      <xdr:col>4</xdr:col>
      <xdr:colOff>1159148</xdr:colOff>
      <xdr:row>42</xdr:row>
      <xdr:rowOff>177039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9AE03CAB-5102-43BC-91BC-775AD7F6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4083" y="10816166"/>
          <a:ext cx="2182557" cy="18290"/>
        </a:xfrm>
        <a:prstGeom prst="rect">
          <a:avLst/>
        </a:prstGeom>
      </xdr:spPr>
    </xdr:pic>
    <xdr:clientData/>
  </xdr:twoCellAnchor>
  <xdr:twoCellAnchor editAs="oneCell">
    <xdr:from>
      <xdr:col>1</xdr:col>
      <xdr:colOff>480484</xdr:colOff>
      <xdr:row>47</xdr:row>
      <xdr:rowOff>152399</xdr:rowOff>
    </xdr:from>
    <xdr:to>
      <xdr:col>3</xdr:col>
      <xdr:colOff>53191</xdr:colOff>
      <xdr:row>47</xdr:row>
      <xdr:rowOff>170689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0EF56D0-1A53-4C71-B45C-A2E2107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0817" y="12227982"/>
          <a:ext cx="2182557" cy="1829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142875</xdr:rowOff>
    </xdr:from>
    <xdr:to>
      <xdr:col>1</xdr:col>
      <xdr:colOff>2057400</xdr:colOff>
      <xdr:row>3</xdr:row>
      <xdr:rowOff>66675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942A7CC-DA7E-4BB4-91AB-6975AEA1B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2875"/>
          <a:ext cx="17049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05D70BF-6987-4E10-82C5-0841968AF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0500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28575</xdr:rowOff>
    </xdr:from>
    <xdr:to>
      <xdr:col>1</xdr:col>
      <xdr:colOff>1857375</xdr:colOff>
      <xdr:row>3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04A29C5-BB76-45DA-9641-194F7B49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1704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1981200</xdr:colOff>
      <xdr:row>1</xdr:row>
      <xdr:rowOff>200025</xdr:rowOff>
    </xdr:to>
    <xdr:pic>
      <xdr:nvPicPr>
        <xdr:cNvPr id="112133" name="Imagen 10">
          <a:extLst>
            <a:ext uri="{FF2B5EF4-FFF2-40B4-BE49-F238E27FC236}">
              <a16:creationId xmlns:a16="http://schemas.microsoft.com/office/drawing/2014/main" id="{038AD5BE-7843-AF9D-E79E-D66DDA21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1819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1</xdr:col>
      <xdr:colOff>2232867</xdr:colOff>
      <xdr:row>4</xdr:row>
      <xdr:rowOff>165100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0A849152-FB51-4116-8898-542FA587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7650"/>
          <a:ext cx="2918667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23</xdr:row>
      <xdr:rowOff>190500</xdr:rowOff>
    </xdr:from>
    <xdr:to>
      <xdr:col>1</xdr:col>
      <xdr:colOff>1943942</xdr:colOff>
      <xdr:row>25</xdr:row>
      <xdr:rowOff>184150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8495018B-74D6-48B6-8FEA-B9B4BBAA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731000"/>
          <a:ext cx="2918667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225877</xdr:colOff>
      <xdr:row>0</xdr:row>
      <xdr:rowOff>0</xdr:rowOff>
    </xdr:from>
    <xdr:to>
      <xdr:col>2</xdr:col>
      <xdr:colOff>576748</xdr:colOff>
      <xdr:row>3</xdr:row>
      <xdr:rowOff>89419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F238433-E1DA-C21D-46DB-C6DD5F35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77" y="0"/>
          <a:ext cx="2343345" cy="68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104775</xdr:rowOff>
    </xdr:from>
    <xdr:to>
      <xdr:col>1</xdr:col>
      <xdr:colOff>2095500</xdr:colOff>
      <xdr:row>2</xdr:row>
      <xdr:rowOff>0</xdr:rowOff>
    </xdr:to>
    <xdr:pic>
      <xdr:nvPicPr>
        <xdr:cNvPr id="126412" name="Imagen 5">
          <a:extLst>
            <a:ext uri="{FF2B5EF4-FFF2-40B4-BE49-F238E27FC236}">
              <a16:creationId xmlns:a16="http://schemas.microsoft.com/office/drawing/2014/main" id="{2E8EB3B3-B307-3653-41C3-AA8406BD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019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132292</xdr:colOff>
      <xdr:row>30</xdr:row>
      <xdr:rowOff>135467</xdr:rowOff>
    </xdr:from>
    <xdr:to>
      <xdr:col>1</xdr:col>
      <xdr:colOff>1665817</xdr:colOff>
      <xdr:row>31</xdr:row>
      <xdr:rowOff>283634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D422BA19-CA8B-83F5-E3E2-132D51ABF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92" y="9601200"/>
          <a:ext cx="1819275" cy="462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48685</xdr:colOff>
      <xdr:row>90</xdr:row>
      <xdr:rowOff>59796</xdr:rowOff>
    </xdr:from>
    <xdr:ext cx="1819275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E08C6E16-7497-4A44-9154-035931D8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5" y="23142046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65</xdr:row>
      <xdr:rowOff>0</xdr:rowOff>
    </xdr:from>
    <xdr:to>
      <xdr:col>1</xdr:col>
      <xdr:colOff>1819275</xdr:colOff>
      <xdr:row>66</xdr:row>
      <xdr:rowOff>271992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1592E64F-ECF7-43A8-B28E-577CD08CF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8499667"/>
          <a:ext cx="1819275" cy="462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62442</xdr:rowOff>
    </xdr:from>
    <xdr:to>
      <xdr:col>1</xdr:col>
      <xdr:colOff>2063750</xdr:colOff>
      <xdr:row>1</xdr:row>
      <xdr:rowOff>275167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82E2B53-8CB7-4DB8-A4ED-63C43A4F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2442"/>
          <a:ext cx="201930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244476</xdr:colOff>
      <xdr:row>30</xdr:row>
      <xdr:rowOff>84668</xdr:rowOff>
    </xdr:from>
    <xdr:ext cx="1819275" cy="466725"/>
    <xdr:pic>
      <xdr:nvPicPr>
        <xdr:cNvPr id="6" name="Imagen 5">
          <a:extLst>
            <a:ext uri="{FF2B5EF4-FFF2-40B4-BE49-F238E27FC236}">
              <a16:creationId xmlns:a16="http://schemas.microsoft.com/office/drawing/2014/main" id="{07D52B5C-8E53-49F8-AB57-954376ED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9662585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244476</xdr:colOff>
      <xdr:row>43</xdr:row>
      <xdr:rowOff>84668</xdr:rowOff>
    </xdr:from>
    <xdr:ext cx="1819275" cy="466725"/>
    <xdr:pic>
      <xdr:nvPicPr>
        <xdr:cNvPr id="3" name="Imagen 2">
          <a:extLst>
            <a:ext uri="{FF2B5EF4-FFF2-40B4-BE49-F238E27FC236}">
              <a16:creationId xmlns:a16="http://schemas.microsoft.com/office/drawing/2014/main" id="{158C2E13-7C3D-42FA-915E-A2F50FF1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0763251"/>
          <a:ext cx="1819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49741</xdr:colOff>
      <xdr:row>0</xdr:row>
      <xdr:rowOff>21167</xdr:rowOff>
    </xdr:from>
    <xdr:ext cx="2019300" cy="533400"/>
    <xdr:pic>
      <xdr:nvPicPr>
        <xdr:cNvPr id="124168" name="Imagen 5">
          <a:extLst>
            <a:ext uri="{FF2B5EF4-FFF2-40B4-BE49-F238E27FC236}">
              <a16:creationId xmlns:a16="http://schemas.microsoft.com/office/drawing/2014/main" id="{5CE6D568-7448-262D-5509-D26DD9AC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" y="211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</xdr:row>
      <xdr:rowOff>101600</xdr:rowOff>
    </xdr:from>
    <xdr:ext cx="2019300" cy="533400"/>
    <xdr:pic>
      <xdr:nvPicPr>
        <xdr:cNvPr id="124169" name="Imagen 5">
          <a:extLst>
            <a:ext uri="{FF2B5EF4-FFF2-40B4-BE49-F238E27FC236}">
              <a16:creationId xmlns:a16="http://schemas.microsoft.com/office/drawing/2014/main" id="{41BD9BB7-1DCF-4148-33CD-8586050F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2767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2019300" cy="533400"/>
    <xdr:pic>
      <xdr:nvPicPr>
        <xdr:cNvPr id="2" name="Imagen 5">
          <a:extLst>
            <a:ext uri="{FF2B5EF4-FFF2-40B4-BE49-F238E27FC236}">
              <a16:creationId xmlns:a16="http://schemas.microsoft.com/office/drawing/2014/main" id="{3B8D1F6E-6BC4-4A7A-B804-F7D31E2B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</xdr:colOff>
      <xdr:row>0</xdr:row>
      <xdr:rowOff>178593</xdr:rowOff>
    </xdr:from>
    <xdr:to>
      <xdr:col>1</xdr:col>
      <xdr:colOff>3440698</xdr:colOff>
      <xdr:row>5</xdr:row>
      <xdr:rowOff>9525</xdr:rowOff>
    </xdr:to>
    <xdr:pic>
      <xdr:nvPicPr>
        <xdr:cNvPr id="101949" name="Imagen 5">
          <a:extLst>
            <a:ext uri="{FF2B5EF4-FFF2-40B4-BE49-F238E27FC236}">
              <a16:creationId xmlns:a16="http://schemas.microsoft.com/office/drawing/2014/main" id="{B8782D00-277A-552A-3006-2A30D4186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" y="178593"/>
          <a:ext cx="3378786" cy="78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0</xdr:col>
      <xdr:colOff>1579275</xdr:colOff>
      <xdr:row>2</xdr:row>
      <xdr:rowOff>28576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FE0EB6D-5B2A-8C03-25A8-A34D831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1579275" cy="381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1509068</xdr:colOff>
      <xdr:row>2</xdr:row>
      <xdr:rowOff>136442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5B1DB-9281-4DA5-AFD9-06CED3A97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83288" cy="51336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161925</xdr:rowOff>
    </xdr:from>
    <xdr:ext cx="1766888" cy="466725"/>
    <xdr:pic>
      <xdr:nvPicPr>
        <xdr:cNvPr id="2" name="Imagen 5">
          <a:extLst>
            <a:ext uri="{FF2B5EF4-FFF2-40B4-BE49-F238E27FC236}">
              <a16:creationId xmlns:a16="http://schemas.microsoft.com/office/drawing/2014/main" id="{837C7CE7-BA36-45B4-8583-F669CBC8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21</xdr:row>
      <xdr:rowOff>50800</xdr:rowOff>
    </xdr:from>
    <xdr:ext cx="1766888" cy="466725"/>
    <xdr:pic>
      <xdr:nvPicPr>
        <xdr:cNvPr id="3" name="Imagen 5">
          <a:extLst>
            <a:ext uri="{FF2B5EF4-FFF2-40B4-BE49-F238E27FC236}">
              <a16:creationId xmlns:a16="http://schemas.microsoft.com/office/drawing/2014/main" id="{4075567B-BCEB-4D5D-9A1E-B2434D37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337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45</xdr:row>
      <xdr:rowOff>0</xdr:rowOff>
    </xdr:from>
    <xdr:ext cx="1766888" cy="466725"/>
    <xdr:pic>
      <xdr:nvPicPr>
        <xdr:cNvPr id="4" name="Imagen 5">
          <a:extLst>
            <a:ext uri="{FF2B5EF4-FFF2-40B4-BE49-F238E27FC236}">
              <a16:creationId xmlns:a16="http://schemas.microsoft.com/office/drawing/2014/main" id="{A14D9B0F-5081-4968-87AC-59C1FC7C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830300"/>
          <a:ext cx="17668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95249</xdr:rowOff>
    </xdr:from>
    <xdr:to>
      <xdr:col>0</xdr:col>
      <xdr:colOff>2209800</xdr:colOff>
      <xdr:row>1</xdr:row>
      <xdr:rowOff>295275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22325B-61C2-96DB-B02E-3F2B9341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49"/>
          <a:ext cx="2181225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214313</xdr:colOff>
      <xdr:row>0</xdr:row>
      <xdr:rowOff>61913</xdr:rowOff>
    </xdr:from>
    <xdr:to>
      <xdr:col>1</xdr:col>
      <xdr:colOff>2302669</xdr:colOff>
      <xdr:row>3</xdr:row>
      <xdr:rowOff>128588</xdr:rowOff>
    </xdr:to>
    <xdr:pic>
      <xdr:nvPicPr>
        <xdr:cNvPr id="109102" name="Imagen 5">
          <a:extLst>
            <a:ext uri="{FF2B5EF4-FFF2-40B4-BE49-F238E27FC236}">
              <a16:creationId xmlns:a16="http://schemas.microsoft.com/office/drawing/2014/main" id="{0E52FF90-3591-D5B5-CC0C-909F1E5B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61913"/>
          <a:ext cx="244078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271464</xdr:colOff>
      <xdr:row>0</xdr:row>
      <xdr:rowOff>109539</xdr:rowOff>
    </xdr:from>
    <xdr:to>
      <xdr:col>1</xdr:col>
      <xdr:colOff>3068003</xdr:colOff>
      <xdr:row>3</xdr:row>
      <xdr:rowOff>19027</xdr:rowOff>
    </xdr:to>
    <xdr:pic>
      <xdr:nvPicPr>
        <xdr:cNvPr id="117100" name="Imagen 5">
          <a:extLst>
            <a:ext uri="{FF2B5EF4-FFF2-40B4-BE49-F238E27FC236}">
              <a16:creationId xmlns:a16="http://schemas.microsoft.com/office/drawing/2014/main" id="{3F9420CD-8756-963F-5277-A2D2B227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4" y="109539"/>
          <a:ext cx="3109912" cy="63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1914525</xdr:colOff>
      <xdr:row>1</xdr:row>
      <xdr:rowOff>276225</xdr:rowOff>
    </xdr:to>
    <xdr:pic>
      <xdr:nvPicPr>
        <xdr:cNvPr id="103984" name="Imagen 5">
          <a:extLst>
            <a:ext uri="{FF2B5EF4-FFF2-40B4-BE49-F238E27FC236}">
              <a16:creationId xmlns:a16="http://schemas.microsoft.com/office/drawing/2014/main" id="{D949302E-C951-499B-1C92-F7CDEC48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22288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263525</xdr:colOff>
      <xdr:row>0</xdr:row>
      <xdr:rowOff>49742</xdr:rowOff>
    </xdr:from>
    <xdr:to>
      <xdr:col>1</xdr:col>
      <xdr:colOff>2178050</xdr:colOff>
      <xdr:row>1</xdr:row>
      <xdr:rowOff>303742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574382-4D5E-358D-643B-B7C07B46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" y="49742"/>
          <a:ext cx="2286000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180975</xdr:rowOff>
    </xdr:from>
    <xdr:to>
      <xdr:col>1</xdr:col>
      <xdr:colOff>1743075</xdr:colOff>
      <xdr:row>2</xdr:row>
      <xdr:rowOff>0</xdr:rowOff>
    </xdr:to>
    <xdr:pic>
      <xdr:nvPicPr>
        <xdr:cNvPr id="72643" name="Imagen 5">
          <a:extLst>
            <a:ext uri="{FF2B5EF4-FFF2-40B4-BE49-F238E27FC236}">
              <a16:creationId xmlns:a16="http://schemas.microsoft.com/office/drawing/2014/main" id="{6E593C62-F4DE-9C64-DCF2-F9DC064E7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0975"/>
          <a:ext cx="1781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1</xdr:col>
      <xdr:colOff>2190750</xdr:colOff>
      <xdr:row>2</xdr:row>
      <xdr:rowOff>197644</xdr:rowOff>
    </xdr:to>
    <xdr:pic>
      <xdr:nvPicPr>
        <xdr:cNvPr id="105008" name="Imagen 5">
          <a:extLst>
            <a:ext uri="{FF2B5EF4-FFF2-40B4-BE49-F238E27FC236}">
              <a16:creationId xmlns:a16="http://schemas.microsoft.com/office/drawing/2014/main" id="{7CFF9A80-00C2-C530-603F-DC71AE03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52400"/>
          <a:ext cx="2152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2%20CONT%20NEW/2025/Entradas%20de%20Diario/ED%2025%2001%20Enero.xlsx" TargetMode="External"/><Relationship Id="rId1" Type="http://schemas.openxmlformats.org/officeDocument/2006/relationships/externalLinkPath" Target="/sites/DF/Shared%20Documents/2%20CONT%20NEW/2025/Entradas%20de%20Diario/ED%2025%2001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ED"/>
      <sheetName val="Resumen"/>
      <sheetName val="analisis IR3"/>
      <sheetName val="Reclasific"/>
      <sheetName val="Dividend"/>
      <sheetName val="Nominas "/>
      <sheetName val="Pagos"/>
      <sheetName val="Vacaciones"/>
      <sheetName val="Form Vacaciones"/>
      <sheetName val="Combustible"/>
      <sheetName val="Act Fijo"/>
      <sheetName val="Amortiz GPA"/>
      <sheetName val="Provision Bonos"/>
      <sheetName val="Provision Regalia nav"/>
      <sheetName val="Provisiones vacac"/>
      <sheetName val="Auditoria HLB"/>
      <sheetName val="Hoja4"/>
      <sheetName val="VACACIONE"/>
      <sheetName val="Analisis ISR ITBIS"/>
      <sheetName val="Dif. cambiaria "/>
      <sheetName val="Hoja17"/>
      <sheetName val="Intereses"/>
      <sheetName val="Interes calculo"/>
      <sheetName val="INVENTARIO"/>
      <sheetName val="Cargos banc"/>
      <sheetName val="Inversion"/>
      <sheetName val="Vacaciones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H7">
            <v>8399520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-0.249977111117893"/>
    <pageSetUpPr fitToPage="1"/>
  </sheetPr>
  <dimension ref="A6:M85"/>
  <sheetViews>
    <sheetView topLeftCell="A43" zoomScale="90" zoomScaleNormal="90" workbookViewId="0">
      <selection activeCell="E37" sqref="E37"/>
    </sheetView>
  </sheetViews>
  <sheetFormatPr baseColWidth="10" defaultColWidth="9.140625" defaultRowHeight="15" x14ac:dyDescent="0.2"/>
  <cols>
    <col min="1" max="1" width="43.28515625" style="4" customWidth="1"/>
    <col min="2" max="2" width="10" style="4" customWidth="1"/>
    <col min="3" max="3" width="28.5703125" style="29" bestFit="1" customWidth="1"/>
    <col min="4" max="4" width="29.42578125" style="29" bestFit="1" customWidth="1"/>
    <col min="5" max="5" width="25" style="29" customWidth="1"/>
    <col min="6" max="6" width="21.42578125" style="29" customWidth="1"/>
    <col min="7" max="7" width="26.140625" style="30" bestFit="1" customWidth="1"/>
    <col min="8" max="8" width="21.42578125" style="4" bestFit="1" customWidth="1"/>
    <col min="9" max="9" width="20" style="4" bestFit="1" customWidth="1"/>
    <col min="10" max="12" width="9.140625" style="4" customWidth="1"/>
    <col min="13" max="13" width="19.140625" style="4" bestFit="1" customWidth="1"/>
    <col min="14" max="16384" width="9.140625" style="4"/>
  </cols>
  <sheetData>
    <row r="6" spans="1:8" x14ac:dyDescent="0.2">
      <c r="A6" s="4" t="s">
        <v>0</v>
      </c>
    </row>
    <row r="7" spans="1:8" s="9" customFormat="1" ht="25.5" customHeight="1" x14ac:dyDescent="0.25">
      <c r="A7" s="628" t="s">
        <v>1</v>
      </c>
      <c r="B7" s="628"/>
      <c r="C7" s="628"/>
      <c r="D7" s="628"/>
      <c r="E7" s="628"/>
      <c r="F7" s="8"/>
      <c r="G7" s="32"/>
    </row>
    <row r="8" spans="1:8" s="9" customFormat="1" ht="25.5" customHeight="1" x14ac:dyDescent="0.25">
      <c r="A8" s="629" t="s">
        <v>2</v>
      </c>
      <c r="B8" s="629"/>
      <c r="C8" s="629"/>
      <c r="D8" s="629"/>
      <c r="E8" s="629"/>
      <c r="F8" s="8"/>
      <c r="G8" s="32"/>
    </row>
    <row r="9" spans="1:8" s="9" customFormat="1" ht="25.5" customHeight="1" x14ac:dyDescent="0.25">
      <c r="A9" s="630" t="s">
        <v>854</v>
      </c>
      <c r="B9" s="630"/>
      <c r="C9" s="630"/>
      <c r="D9" s="630"/>
      <c r="E9" s="630"/>
      <c r="F9" s="33"/>
      <c r="G9" s="32"/>
    </row>
    <row r="10" spans="1:8" s="9" customFormat="1" ht="25.5" customHeight="1" x14ac:dyDescent="0.25">
      <c r="A10" s="631" t="s">
        <v>3</v>
      </c>
      <c r="B10" s="631"/>
      <c r="C10" s="631"/>
      <c r="D10" s="631"/>
      <c r="E10" s="631"/>
      <c r="F10" s="8"/>
      <c r="G10" s="32"/>
    </row>
    <row r="11" spans="1:8" s="9" customFormat="1" ht="18" x14ac:dyDescent="0.25">
      <c r="A11" s="35"/>
      <c r="B11" s="35"/>
      <c r="C11" s="35"/>
      <c r="D11" s="35"/>
      <c r="E11" s="36"/>
      <c r="F11" s="36"/>
      <c r="G11" s="32"/>
    </row>
    <row r="12" spans="1:8" s="9" customFormat="1" ht="18" x14ac:dyDescent="0.25">
      <c r="C12" s="36"/>
      <c r="D12" s="36"/>
      <c r="E12" s="36"/>
      <c r="F12" s="36"/>
      <c r="G12" s="32"/>
    </row>
    <row r="13" spans="1:8" s="37" customFormat="1" ht="24.75" customHeight="1" x14ac:dyDescent="0.25">
      <c r="B13" s="38" t="s">
        <v>4</v>
      </c>
      <c r="C13" s="38" t="s">
        <v>5</v>
      </c>
      <c r="D13" s="38" t="s">
        <v>6</v>
      </c>
      <c r="E13" s="38" t="s">
        <v>7</v>
      </c>
      <c r="F13" s="39"/>
      <c r="G13" s="32"/>
    </row>
    <row r="14" spans="1:8" ht="18" x14ac:dyDescent="0.25">
      <c r="A14" s="40" t="s">
        <v>8</v>
      </c>
      <c r="B14" s="40"/>
      <c r="C14" s="41"/>
      <c r="D14" s="41"/>
      <c r="E14" s="41"/>
      <c r="F14" s="41"/>
      <c r="G14" s="32"/>
    </row>
    <row r="15" spans="1:8" ht="18" customHeight="1" x14ac:dyDescent="0.25">
      <c r="A15" s="42" t="s">
        <v>9</v>
      </c>
      <c r="B15" s="42"/>
      <c r="C15" s="41"/>
      <c r="D15" s="41"/>
      <c r="E15" s="41"/>
      <c r="F15" s="41"/>
      <c r="G15" s="32"/>
    </row>
    <row r="16" spans="1:8" ht="18" customHeight="1" x14ac:dyDescent="0.2">
      <c r="A16" s="4" t="s">
        <v>10</v>
      </c>
      <c r="B16" s="5">
        <v>1</v>
      </c>
      <c r="C16" s="43">
        <f>+'A-SITUACION ANEXOS'!D20</f>
        <v>391071732.54000002</v>
      </c>
      <c r="D16" s="43">
        <f>+'A-SITUACION ANEXOS'!E20</f>
        <v>520703698.19750005</v>
      </c>
      <c r="E16" s="43">
        <f>+C16-D16</f>
        <v>-129631965.65750003</v>
      </c>
      <c r="F16" s="41"/>
      <c r="G16" s="44"/>
      <c r="H16" s="21"/>
    </row>
    <row r="17" spans="1:9" ht="18" customHeight="1" x14ac:dyDescent="0.2">
      <c r="A17" s="4" t="s">
        <v>11</v>
      </c>
      <c r="B17" s="5">
        <v>2</v>
      </c>
      <c r="C17" s="43">
        <f>+'A-SITUACION ANEXOS'!D28</f>
        <v>1618213020.6100001</v>
      </c>
      <c r="D17" s="43">
        <f>+'A-SITUACION ANEXOS'!E28</f>
        <v>1603460208.45</v>
      </c>
      <c r="E17" s="43">
        <f>+C17-D17</f>
        <v>14752812.160000086</v>
      </c>
      <c r="F17" s="45"/>
      <c r="G17" s="44"/>
      <c r="H17" s="21"/>
    </row>
    <row r="18" spans="1:9" ht="18" customHeight="1" x14ac:dyDescent="0.2">
      <c r="A18" s="4" t="s">
        <v>12</v>
      </c>
      <c r="B18" s="5">
        <v>3</v>
      </c>
      <c r="C18" s="43">
        <f>+'A-SITUACION ANEXOS'!D37</f>
        <v>14350719.829999996</v>
      </c>
      <c r="D18" s="43">
        <f>+'A-SITUACION ANEXOS'!E37</f>
        <v>13778608.739999998</v>
      </c>
      <c r="E18" s="43">
        <f>+C18-D18</f>
        <v>572111.08999999799</v>
      </c>
      <c r="F18" s="41"/>
      <c r="G18" s="44"/>
      <c r="H18" s="21"/>
    </row>
    <row r="19" spans="1:9" ht="18" customHeight="1" x14ac:dyDescent="0.2">
      <c r="A19" s="4" t="s">
        <v>13</v>
      </c>
      <c r="B19" s="5">
        <v>4</v>
      </c>
      <c r="C19" s="54">
        <f>+'A-SITUACION ANEXOS'!D44</f>
        <v>4638742.5199999996</v>
      </c>
      <c r="D19" s="43">
        <f>+'A-SITUACION ANEXOS'!E44</f>
        <v>4896353.6000000006</v>
      </c>
      <c r="E19" s="43">
        <f>+C19-D19</f>
        <v>-257611.08000000101</v>
      </c>
      <c r="F19" s="41"/>
      <c r="G19" s="44"/>
      <c r="H19" s="21"/>
    </row>
    <row r="20" spans="1:9" ht="18" customHeight="1" x14ac:dyDescent="0.2">
      <c r="A20" s="4" t="s">
        <v>14</v>
      </c>
      <c r="B20" s="5">
        <v>5</v>
      </c>
      <c r="C20" s="54">
        <f>+'A-SITUACION ANEXOS'!D51</f>
        <v>2829195.5616666665</v>
      </c>
      <c r="D20" s="43">
        <f>+'A-SITUACION ANEXOS'!E51</f>
        <v>3270281.0133333327</v>
      </c>
      <c r="E20" s="43">
        <f>+C20-D20</f>
        <v>-441085.45166666619</v>
      </c>
      <c r="F20" s="41"/>
      <c r="G20" s="44"/>
      <c r="H20" s="21"/>
    </row>
    <row r="21" spans="1:9" ht="18" customHeight="1" x14ac:dyDescent="0.25">
      <c r="A21" s="40" t="s">
        <v>15</v>
      </c>
      <c r="B21" s="28"/>
      <c r="C21" s="46">
        <f>SUM(C16:C20)</f>
        <v>2031103411.0616667</v>
      </c>
      <c r="D21" s="46">
        <f>SUM(D16:D20)</f>
        <v>2146109150.0008333</v>
      </c>
      <c r="E21" s="46">
        <f>SUM(E16:E20)</f>
        <v>-115005738.93916661</v>
      </c>
      <c r="F21" s="47"/>
      <c r="G21" s="44"/>
      <c r="H21" s="21"/>
      <c r="I21" s="41"/>
    </row>
    <row r="22" spans="1:9" x14ac:dyDescent="0.2">
      <c r="B22" s="5"/>
      <c r="C22" s="43"/>
      <c r="D22" s="43"/>
      <c r="E22" s="43"/>
      <c r="F22" s="48"/>
      <c r="G22" s="44"/>
      <c r="H22" s="21"/>
      <c r="I22" s="41"/>
    </row>
    <row r="23" spans="1:9" ht="17.25" customHeight="1" x14ac:dyDescent="0.2">
      <c r="A23" s="42" t="s">
        <v>16</v>
      </c>
      <c r="B23" s="49"/>
      <c r="C23" s="43"/>
      <c r="D23" s="43"/>
      <c r="E23" s="43"/>
      <c r="F23" s="50"/>
      <c r="G23" s="44"/>
      <c r="H23" s="21"/>
      <c r="I23" s="41"/>
    </row>
    <row r="24" spans="1:9" ht="17.25" customHeight="1" x14ac:dyDescent="0.2">
      <c r="A24" s="4" t="s">
        <v>17</v>
      </c>
      <c r="B24" s="5">
        <v>6</v>
      </c>
      <c r="C24" s="43">
        <f>+'A-SITUACION ANEXOS'!D103</f>
        <v>13785090198.77</v>
      </c>
      <c r="D24" s="43">
        <f>+'A-SITUACION ANEXOS'!E103+0</f>
        <v>13785090198.77</v>
      </c>
      <c r="E24" s="43">
        <f>C24-D24</f>
        <v>0</v>
      </c>
      <c r="F24" s="50"/>
      <c r="G24" s="44"/>
      <c r="H24" s="21"/>
    </row>
    <row r="25" spans="1:9" ht="17.25" customHeight="1" x14ac:dyDescent="0.2">
      <c r="A25" s="4" t="s">
        <v>18</v>
      </c>
      <c r="B25" s="5">
        <v>7</v>
      </c>
      <c r="C25" s="43">
        <f>+'A-SITUACION ANEXOS'!D113</f>
        <v>2620756800</v>
      </c>
      <c r="D25" s="43">
        <f>+'A-SITUACION ANEXOS'!E113</f>
        <v>2520756800</v>
      </c>
      <c r="E25" s="43">
        <f>C25-D25</f>
        <v>100000000</v>
      </c>
      <c r="G25" s="44"/>
      <c r="H25" s="21"/>
    </row>
    <row r="26" spans="1:9" ht="17.25" customHeight="1" x14ac:dyDescent="0.2">
      <c r="A26" s="4" t="s">
        <v>19</v>
      </c>
      <c r="B26" s="5">
        <v>8</v>
      </c>
      <c r="C26" s="51">
        <f>+'A-SITUACION ANEXOS'!D126</f>
        <v>22362403.049999986</v>
      </c>
      <c r="D26" s="51">
        <f>+'A-SITUACION ANEXOS'!E126</f>
        <v>22790011.179999985</v>
      </c>
      <c r="E26" s="51">
        <f>C26-D26</f>
        <v>-427608.12999999896</v>
      </c>
      <c r="F26" s="47"/>
      <c r="G26" s="44"/>
      <c r="H26" s="21"/>
    </row>
    <row r="27" spans="1:9" ht="18.75" customHeight="1" x14ac:dyDescent="0.25">
      <c r="A27" s="40" t="s">
        <v>20</v>
      </c>
      <c r="B27" s="5"/>
      <c r="C27" s="52">
        <f>SUM(C24:C26)</f>
        <v>16428209401.82</v>
      </c>
      <c r="D27" s="52">
        <f>SUM(D24:D26)</f>
        <v>16328637009.950001</v>
      </c>
      <c r="E27" s="52">
        <f>SUM(E24:E26)</f>
        <v>99572391.870000005</v>
      </c>
      <c r="F27" s="47"/>
      <c r="G27" s="44"/>
      <c r="H27" s="21"/>
    </row>
    <row r="28" spans="1:9" x14ac:dyDescent="0.2">
      <c r="B28" s="5"/>
      <c r="C28" s="43"/>
      <c r="D28" s="43"/>
      <c r="E28" s="43"/>
      <c r="F28" s="48"/>
      <c r="G28" s="44"/>
      <c r="H28" s="21"/>
    </row>
    <row r="29" spans="1:9" ht="24" customHeight="1" thickBot="1" x14ac:dyDescent="0.3">
      <c r="A29" s="40" t="s">
        <v>21</v>
      </c>
      <c r="B29" s="28"/>
      <c r="C29" s="53">
        <f>C21+C27</f>
        <v>18459312812.881668</v>
      </c>
      <c r="D29" s="53">
        <f>D21+D27</f>
        <v>18474746159.950832</v>
      </c>
      <c r="E29" s="53">
        <f>+C29-D29</f>
        <v>-15433347.069164276</v>
      </c>
      <c r="F29" s="47"/>
      <c r="G29" s="44"/>
      <c r="H29" s="21"/>
    </row>
    <row r="30" spans="1:9" ht="17.25" customHeight="1" thickTop="1" x14ac:dyDescent="0.2">
      <c r="B30" s="5"/>
      <c r="C30" s="43"/>
      <c r="D30" s="43"/>
      <c r="E30" s="43"/>
      <c r="F30" s="47"/>
      <c r="G30" s="44"/>
      <c r="H30" s="21"/>
    </row>
    <row r="31" spans="1:9" ht="15.75" x14ac:dyDescent="0.25">
      <c r="A31" s="40" t="s">
        <v>22</v>
      </c>
      <c r="B31" s="28"/>
      <c r="C31" s="43"/>
      <c r="D31" s="43"/>
      <c r="E31" s="43"/>
      <c r="F31" s="47"/>
      <c r="G31" s="44"/>
      <c r="H31" s="21"/>
    </row>
    <row r="32" spans="1:9" ht="19.5" customHeight="1" x14ac:dyDescent="0.2">
      <c r="A32" s="42" t="s">
        <v>9</v>
      </c>
      <c r="B32" s="49"/>
      <c r="C32" s="43"/>
      <c r="D32" s="43"/>
      <c r="E32" s="43"/>
      <c r="F32" s="47"/>
      <c r="G32" s="44"/>
      <c r="H32" s="21"/>
    </row>
    <row r="33" spans="1:9" ht="19.5" customHeight="1" x14ac:dyDescent="0.2">
      <c r="A33" s="4" t="s">
        <v>23</v>
      </c>
      <c r="B33" s="5">
        <v>9</v>
      </c>
      <c r="C33" s="54">
        <f>+'A-SITUACION ANEXOS'!D140</f>
        <v>5984916.6200000001</v>
      </c>
      <c r="D33" s="43">
        <f>+'A-SITUACION ANEXOS'!E140</f>
        <v>6734307.8600000003</v>
      </c>
      <c r="E33" s="43">
        <f>+C33-D33</f>
        <v>-749391.24000000022</v>
      </c>
      <c r="F33" s="44"/>
      <c r="G33" s="44"/>
      <c r="H33" s="21"/>
      <c r="I33" s="29"/>
    </row>
    <row r="34" spans="1:9" ht="19.5" customHeight="1" x14ac:dyDescent="0.2">
      <c r="A34" s="4" t="s">
        <v>24</v>
      </c>
      <c r="B34" s="5">
        <v>10</v>
      </c>
      <c r="C34" s="54">
        <f>+'A-SITUACION ANEXOS'!D147</f>
        <v>522318.25</v>
      </c>
      <c r="D34" s="43">
        <f>+'A-SITUACION ANEXOS'!E147</f>
        <v>709240.74</v>
      </c>
      <c r="E34" s="43">
        <f t="shared" ref="E34:E36" si="0">+C34-D34</f>
        <v>-186922.49</v>
      </c>
      <c r="F34" s="47"/>
      <c r="G34" s="44"/>
      <c r="H34" s="21"/>
      <c r="I34" s="29"/>
    </row>
    <row r="35" spans="1:9" ht="19.5" customHeight="1" x14ac:dyDescent="0.2">
      <c r="A35" s="4" t="s">
        <v>25</v>
      </c>
      <c r="B35" s="5">
        <v>11</v>
      </c>
      <c r="C35" s="54">
        <f>+'NOTA 11-GASTOS PERSONAL X PAGAR'!B13</f>
        <v>29955506.970000003</v>
      </c>
      <c r="D35" s="43">
        <f>+'A-SITUACION ANEXOS'!E157</f>
        <v>25712368.07</v>
      </c>
      <c r="E35" s="43">
        <f t="shared" si="0"/>
        <v>4243138.9000000022</v>
      </c>
      <c r="F35" s="55"/>
      <c r="G35" s="44"/>
      <c r="H35" s="21"/>
      <c r="I35" s="29"/>
    </row>
    <row r="36" spans="1:9" ht="19.5" customHeight="1" x14ac:dyDescent="0.2">
      <c r="A36" s="4" t="s">
        <v>26</v>
      </c>
      <c r="B36" s="5">
        <v>12</v>
      </c>
      <c r="C36" s="54">
        <f>+'NOTA 12-RETENCIONES X PAGAR'!B16</f>
        <v>2079987.8599999999</v>
      </c>
      <c r="D36" s="43">
        <f>+'A-SITUACION ANEXOS'!E167</f>
        <v>2482113.69</v>
      </c>
      <c r="E36" s="43">
        <f t="shared" si="0"/>
        <v>-402125.83000000007</v>
      </c>
      <c r="G36" s="44"/>
      <c r="H36" s="21"/>
      <c r="I36" s="29"/>
    </row>
    <row r="37" spans="1:9" ht="19.5" customHeight="1" x14ac:dyDescent="0.2">
      <c r="A37" s="4" t="s">
        <v>27</v>
      </c>
      <c r="B37" s="5">
        <v>13</v>
      </c>
      <c r="C37" s="56">
        <f>+'A-SITUACION ANEXOS'!D173</f>
        <v>70608221.019999996</v>
      </c>
      <c r="D37" s="51">
        <f>+'A-SITUACION ANEXOS'!E173</f>
        <v>70608221.019999996</v>
      </c>
      <c r="E37" s="51">
        <f>+C37-D37</f>
        <v>0</v>
      </c>
      <c r="G37" s="44"/>
      <c r="H37" s="21"/>
      <c r="I37" s="29"/>
    </row>
    <row r="38" spans="1:9" ht="19.5" customHeight="1" x14ac:dyDescent="0.25">
      <c r="A38" s="40" t="s">
        <v>646</v>
      </c>
      <c r="B38" s="28"/>
      <c r="C38" s="52">
        <f>SUM(C33:C37)</f>
        <v>109150950.72</v>
      </c>
      <c r="D38" s="52">
        <f>SUM(D33:D37)</f>
        <v>106246251.38</v>
      </c>
      <c r="E38" s="52">
        <f>SUM(E33:E37)</f>
        <v>2904699.3400000017</v>
      </c>
      <c r="G38" s="44"/>
      <c r="H38" s="21"/>
      <c r="I38" s="29"/>
    </row>
    <row r="39" spans="1:9" x14ac:dyDescent="0.2">
      <c r="B39" s="5"/>
      <c r="C39" s="43"/>
      <c r="D39" s="43"/>
      <c r="E39" s="43"/>
      <c r="G39" s="44"/>
      <c r="H39" s="21"/>
      <c r="I39" s="29"/>
    </row>
    <row r="40" spans="1:9" x14ac:dyDescent="0.2">
      <c r="B40" s="5"/>
      <c r="C40" s="43"/>
      <c r="D40" s="43"/>
      <c r="E40" s="43"/>
      <c r="G40" s="44"/>
      <c r="H40" s="21"/>
      <c r="I40" s="29"/>
    </row>
    <row r="41" spans="1:9" ht="24" customHeight="1" thickBot="1" x14ac:dyDescent="0.3">
      <c r="A41" s="40" t="s">
        <v>28</v>
      </c>
      <c r="B41" s="28"/>
      <c r="C41" s="53">
        <f>C38</f>
        <v>109150950.72</v>
      </c>
      <c r="D41" s="53">
        <f>D38</f>
        <v>106246251.38</v>
      </c>
      <c r="E41" s="53">
        <f>E38</f>
        <v>2904699.3400000017</v>
      </c>
      <c r="G41" s="44"/>
      <c r="H41" s="21"/>
    </row>
    <row r="42" spans="1:9" ht="15.75" thickTop="1" x14ac:dyDescent="0.2">
      <c r="B42" s="5"/>
      <c r="C42" s="43"/>
      <c r="D42" s="43"/>
      <c r="E42" s="43"/>
      <c r="G42" s="44"/>
      <c r="H42" s="21"/>
    </row>
    <row r="43" spans="1:9" ht="15.75" x14ac:dyDescent="0.25">
      <c r="A43" s="40" t="s">
        <v>29</v>
      </c>
      <c r="B43" s="28"/>
      <c r="C43" s="43"/>
      <c r="D43" s="43"/>
      <c r="E43" s="43"/>
      <c r="F43" s="47"/>
      <c r="G43" s="44"/>
      <c r="H43" s="21"/>
    </row>
    <row r="44" spans="1:9" ht="17.25" customHeight="1" x14ac:dyDescent="0.2">
      <c r="A44" s="4" t="s">
        <v>30</v>
      </c>
      <c r="B44" s="5">
        <v>14</v>
      </c>
      <c r="C44" s="43">
        <f>+'NOTA 14-CAPITAL'!F25</f>
        <v>16374110889</v>
      </c>
      <c r="D44" s="43">
        <v>16374110889</v>
      </c>
      <c r="E44" s="43">
        <f>+C44-D44</f>
        <v>0</v>
      </c>
      <c r="F44" s="47"/>
      <c r="G44" s="44"/>
      <c r="H44" s="21"/>
    </row>
    <row r="45" spans="1:9" ht="17.25" customHeight="1" x14ac:dyDescent="0.2">
      <c r="A45" s="4" t="s">
        <v>31</v>
      </c>
      <c r="B45" s="5"/>
      <c r="C45" s="43">
        <v>2499973657.4000001</v>
      </c>
      <c r="D45" s="43">
        <v>2499973657.4000001</v>
      </c>
      <c r="E45" s="43">
        <f>+C45-D45</f>
        <v>0</v>
      </c>
      <c r="F45" s="47"/>
      <c r="G45" s="44"/>
      <c r="H45" s="21"/>
    </row>
    <row r="46" spans="1:9" ht="17.25" customHeight="1" x14ac:dyDescent="0.2">
      <c r="A46" s="4" t="s">
        <v>32</v>
      </c>
      <c r="B46" s="5"/>
      <c r="C46" s="51">
        <f>+'Estado de Resultados'!C36</f>
        <v>-523922684.23999995</v>
      </c>
      <c r="D46" s="51">
        <v>-505584637.82999998</v>
      </c>
      <c r="E46" s="51">
        <f>+C46-D46</f>
        <v>-18338046.409999967</v>
      </c>
      <c r="F46" s="47"/>
      <c r="G46" s="44"/>
      <c r="H46" s="21"/>
    </row>
    <row r="47" spans="1:9" x14ac:dyDescent="0.2">
      <c r="B47" s="5"/>
      <c r="C47" s="43"/>
      <c r="D47" s="43"/>
      <c r="E47" s="43"/>
      <c r="F47" s="50"/>
      <c r="G47" s="44"/>
      <c r="H47" s="21"/>
    </row>
    <row r="48" spans="1:9" ht="24" customHeight="1" thickBot="1" x14ac:dyDescent="0.3">
      <c r="A48" s="40" t="s">
        <v>33</v>
      </c>
      <c r="B48" s="28"/>
      <c r="C48" s="53">
        <f>SUM(C44:C46)</f>
        <v>18350161862.16</v>
      </c>
      <c r="D48" s="53">
        <f>SUM(D44:D46)</f>
        <v>18368499908.57</v>
      </c>
      <c r="E48" s="53">
        <f>SUM(E44:E46)</f>
        <v>-18338046.409999967</v>
      </c>
      <c r="G48" s="44"/>
      <c r="H48" s="21"/>
    </row>
    <row r="49" spans="1:13" ht="15.75" thickTop="1" x14ac:dyDescent="0.2">
      <c r="B49" s="5"/>
      <c r="C49" s="43"/>
      <c r="D49" s="43"/>
      <c r="E49" s="43"/>
      <c r="F49" s="50"/>
      <c r="G49" s="29"/>
      <c r="H49" s="21"/>
    </row>
    <row r="50" spans="1:13" ht="27" customHeight="1" thickBot="1" x14ac:dyDescent="0.3">
      <c r="A50" s="40" t="s">
        <v>34</v>
      </c>
      <c r="B50" s="28"/>
      <c r="C50" s="53">
        <f>+C41+C48</f>
        <v>18459312812.880001</v>
      </c>
      <c r="D50" s="53">
        <f>+D41+D48</f>
        <v>18474746159.950001</v>
      </c>
      <c r="E50" s="53">
        <f>+E41+E48</f>
        <v>-15433347.069999965</v>
      </c>
      <c r="G50" s="44"/>
      <c r="H50" s="21"/>
    </row>
    <row r="51" spans="1:13" ht="15.75" thickTop="1" x14ac:dyDescent="0.2">
      <c r="B51" s="57"/>
      <c r="C51" s="58">
        <f>+C29-C50+0</f>
        <v>1.667022705078125E-3</v>
      </c>
      <c r="D51" s="58">
        <f>+D29-D50</f>
        <v>8.3160400390625E-4</v>
      </c>
      <c r="E51" s="58">
        <f>+E29-E50</f>
        <v>8.3568878471851349E-4</v>
      </c>
      <c r="F51" s="59"/>
      <c r="G51" s="4"/>
      <c r="H51" s="21"/>
      <c r="M51" s="41"/>
    </row>
    <row r="52" spans="1:13" ht="32.25" customHeight="1" x14ac:dyDescent="0.2">
      <c r="B52" s="5"/>
      <c r="C52" s="60"/>
      <c r="D52" s="61"/>
      <c r="E52" s="61"/>
      <c r="F52" s="50"/>
      <c r="G52" s="4"/>
      <c r="H52" s="21"/>
      <c r="M52" s="29"/>
    </row>
    <row r="53" spans="1:13" x14ac:dyDescent="0.2">
      <c r="B53" s="5"/>
      <c r="F53" s="50"/>
      <c r="G53" s="4"/>
      <c r="M53" s="29"/>
    </row>
    <row r="54" spans="1:13" x14ac:dyDescent="0.2">
      <c r="A54" s="62"/>
      <c r="B54" s="63"/>
      <c r="C54" s="64"/>
      <c r="F54" s="50"/>
      <c r="G54" s="4"/>
      <c r="M54" s="29"/>
    </row>
    <row r="55" spans="1:13" ht="15" customHeight="1" x14ac:dyDescent="0.2">
      <c r="A55" s="62"/>
      <c r="B55" s="62"/>
      <c r="G55" s="4"/>
      <c r="M55" s="29"/>
    </row>
    <row r="56" spans="1:13" s="40" customFormat="1" ht="15.75" x14ac:dyDescent="0.25">
      <c r="A56" s="65" t="s">
        <v>35</v>
      </c>
      <c r="C56" s="66"/>
      <c r="D56" s="627" t="s">
        <v>36</v>
      </c>
      <c r="E56" s="627"/>
      <c r="F56" s="66"/>
      <c r="H56" s="66"/>
      <c r="M56" s="66"/>
    </row>
    <row r="57" spans="1:13" x14ac:dyDescent="0.2">
      <c r="A57" s="57" t="s">
        <v>37</v>
      </c>
      <c r="B57" s="62"/>
      <c r="D57" s="626" t="s">
        <v>38</v>
      </c>
      <c r="E57" s="626"/>
      <c r="G57" s="4"/>
      <c r="H57" s="29"/>
    </row>
    <row r="58" spans="1:13" x14ac:dyDescent="0.2">
      <c r="A58" s="57"/>
      <c r="B58" s="62"/>
      <c r="G58" s="4"/>
      <c r="H58" s="29"/>
      <c r="M58" s="29"/>
    </row>
    <row r="59" spans="1:13" ht="16.5" customHeight="1" x14ac:dyDescent="0.2">
      <c r="A59" s="62"/>
      <c r="B59" s="62"/>
      <c r="G59" s="4"/>
      <c r="M59" s="21"/>
    </row>
    <row r="60" spans="1:13" ht="16.5" customHeight="1" x14ac:dyDescent="0.2">
      <c r="A60" s="62"/>
      <c r="B60" s="62"/>
      <c r="G60" s="4"/>
      <c r="M60" s="21"/>
    </row>
    <row r="61" spans="1:13" ht="17.25" customHeight="1" x14ac:dyDescent="0.2">
      <c r="G61" s="4"/>
      <c r="M61" s="21"/>
    </row>
    <row r="62" spans="1:13" s="40" customFormat="1" ht="15.75" x14ac:dyDescent="0.25">
      <c r="A62" s="632" t="s">
        <v>39</v>
      </c>
      <c r="B62" s="632"/>
      <c r="C62" s="632"/>
      <c r="D62" s="632"/>
      <c r="E62" s="632"/>
      <c r="F62" s="66"/>
    </row>
    <row r="63" spans="1:13" x14ac:dyDescent="0.2">
      <c r="A63" s="625" t="s">
        <v>40</v>
      </c>
      <c r="B63" s="625"/>
      <c r="C63" s="625"/>
      <c r="D63" s="625"/>
      <c r="E63" s="625"/>
      <c r="G63" s="4"/>
    </row>
    <row r="64" spans="1:13" x14ac:dyDescent="0.2">
      <c r="G64" s="4"/>
    </row>
    <row r="65" spans="3:7" x14ac:dyDescent="0.2">
      <c r="G65" s="4"/>
    </row>
    <row r="66" spans="3:7" x14ac:dyDescent="0.2">
      <c r="G66" s="4"/>
    </row>
    <row r="67" spans="3:7" x14ac:dyDescent="0.2">
      <c r="C67" s="4"/>
      <c r="G67" s="4"/>
    </row>
    <row r="68" spans="3:7" x14ac:dyDescent="0.2">
      <c r="C68" s="67"/>
      <c r="D68" s="68"/>
      <c r="F68" s="68"/>
      <c r="G68" s="29"/>
    </row>
    <row r="69" spans="3:7" x14ac:dyDescent="0.2">
      <c r="C69" s="67"/>
      <c r="D69" s="68"/>
      <c r="F69" s="68"/>
      <c r="G69" s="29"/>
    </row>
    <row r="70" spans="3:7" x14ac:dyDescent="0.2">
      <c r="C70" s="67"/>
      <c r="D70" s="68"/>
      <c r="F70" s="68"/>
      <c r="G70" s="29"/>
    </row>
    <row r="71" spans="3:7" x14ac:dyDescent="0.2">
      <c r="C71" s="67"/>
      <c r="D71" s="68"/>
      <c r="F71" s="68"/>
      <c r="G71" s="29"/>
    </row>
    <row r="72" spans="3:7" x14ac:dyDescent="0.2">
      <c r="C72" s="67"/>
      <c r="D72" s="68"/>
      <c r="F72" s="68"/>
      <c r="G72" s="29"/>
    </row>
    <row r="73" spans="3:7" x14ac:dyDescent="0.2">
      <c r="C73" s="67"/>
      <c r="D73" s="68"/>
      <c r="F73" s="68"/>
      <c r="G73" s="29"/>
    </row>
    <row r="74" spans="3:7" x14ac:dyDescent="0.2">
      <c r="C74" s="67"/>
      <c r="D74" s="68"/>
      <c r="F74" s="68"/>
      <c r="G74" s="29"/>
    </row>
    <row r="75" spans="3:7" x14ac:dyDescent="0.2">
      <c r="C75" s="67"/>
      <c r="G75" s="29"/>
    </row>
    <row r="76" spans="3:7" x14ac:dyDescent="0.2">
      <c r="C76" s="69"/>
      <c r="G76" s="4"/>
    </row>
    <row r="77" spans="3:7" x14ac:dyDescent="0.2">
      <c r="C77" s="69"/>
      <c r="G77" s="4"/>
    </row>
    <row r="79" spans="3:7" x14ac:dyDescent="0.2">
      <c r="C79" s="26"/>
    </row>
    <row r="80" spans="3:7" x14ac:dyDescent="0.2">
      <c r="C80" s="26"/>
    </row>
    <row r="81" spans="3:3" x14ac:dyDescent="0.2">
      <c r="C81" s="26"/>
    </row>
    <row r="82" spans="3:3" x14ac:dyDescent="0.2">
      <c r="C82" s="26"/>
    </row>
    <row r="83" spans="3:3" x14ac:dyDescent="0.2">
      <c r="C83" s="26"/>
    </row>
    <row r="84" spans="3:3" x14ac:dyDescent="0.2">
      <c r="C84" s="26"/>
    </row>
    <row r="85" spans="3:3" x14ac:dyDescent="0.2">
      <c r="C85" s="26"/>
    </row>
  </sheetData>
  <mergeCells count="8">
    <mergeCell ref="A63:E63"/>
    <mergeCell ref="D57:E57"/>
    <mergeCell ref="D56:E56"/>
    <mergeCell ref="A7:E7"/>
    <mergeCell ref="A8:E8"/>
    <mergeCell ref="A9:E9"/>
    <mergeCell ref="A10:E10"/>
    <mergeCell ref="A62:E62"/>
  </mergeCells>
  <phoneticPr fontId="75" type="noConversion"/>
  <printOptions horizontalCentered="1"/>
  <pageMargins left="0.62992125984251968" right="0.70866141732283472" top="0.39370078740157483" bottom="0.19685039370078741" header="0" footer="0"/>
  <pageSetup scale="6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I24"/>
  <sheetViews>
    <sheetView zoomScale="110" zoomScaleNormal="110" workbookViewId="0">
      <selection activeCell="E18" sqref="E18"/>
    </sheetView>
  </sheetViews>
  <sheetFormatPr baseColWidth="10" defaultColWidth="11.5703125" defaultRowHeight="24.75" customHeight="1" x14ac:dyDescent="0.2"/>
  <cols>
    <col min="1" max="1" width="4.7109375" style="4" customWidth="1"/>
    <col min="2" max="2" width="14.28515625" style="4" customWidth="1"/>
    <col min="3" max="3" width="16.28515625" style="4" customWidth="1"/>
    <col min="4" max="4" width="56.140625" style="4" customWidth="1"/>
    <col min="5" max="5" width="18.5703125" style="4" bestFit="1" customWidth="1"/>
    <col min="6" max="6" width="16.42578125" style="4" bestFit="1" customWidth="1"/>
    <col min="7" max="7" width="3.28515625" style="4" customWidth="1"/>
    <col min="8" max="8" width="15.140625" style="4" customWidth="1"/>
    <col min="9" max="9" width="14.5703125" style="4" bestFit="1" customWidth="1"/>
    <col min="10" max="16384" width="11.5703125" style="4"/>
  </cols>
  <sheetData>
    <row r="1" spans="2:6" ht="24.75" customHeight="1" x14ac:dyDescent="0.2">
      <c r="E1" s="29"/>
    </row>
    <row r="2" spans="2:6" ht="24.75" customHeight="1" x14ac:dyDescent="0.25">
      <c r="B2" s="632"/>
      <c r="C2" s="632"/>
      <c r="D2" s="632"/>
      <c r="E2" s="632"/>
      <c r="F2" s="632"/>
    </row>
    <row r="3" spans="2:6" ht="24.75" customHeight="1" x14ac:dyDescent="0.25">
      <c r="B3" s="632" t="s">
        <v>243</v>
      </c>
      <c r="C3" s="632"/>
      <c r="D3" s="632"/>
      <c r="E3" s="632"/>
      <c r="F3" s="632"/>
    </row>
    <row r="4" spans="2:6" ht="24.75" customHeight="1" x14ac:dyDescent="0.25">
      <c r="B4" s="632" t="s">
        <v>223</v>
      </c>
      <c r="C4" s="632"/>
      <c r="D4" s="632"/>
      <c r="E4" s="632"/>
      <c r="F4" s="632"/>
    </row>
    <row r="5" spans="2:6" ht="24.75" customHeight="1" x14ac:dyDescent="0.25">
      <c r="B5" s="632" t="s">
        <v>288</v>
      </c>
      <c r="C5" s="632"/>
      <c r="D5" s="632"/>
      <c r="E5" s="632"/>
      <c r="F5" s="632"/>
    </row>
    <row r="6" spans="2:6" ht="24.75" customHeight="1" x14ac:dyDescent="0.25">
      <c r="B6" s="648">
        <v>45930</v>
      </c>
      <c r="C6" s="648"/>
      <c r="D6" s="648"/>
      <c r="E6" s="648"/>
      <c r="F6" s="648"/>
    </row>
    <row r="7" spans="2:6" ht="24.75" customHeight="1" thickBot="1" x14ac:dyDescent="0.3">
      <c r="D7" s="28"/>
      <c r="E7" s="28"/>
    </row>
    <row r="8" spans="2:6" ht="24.75" customHeight="1" thickBot="1" x14ac:dyDescent="0.3">
      <c r="B8" s="197" t="s">
        <v>289</v>
      </c>
      <c r="C8" s="198" t="s">
        <v>290</v>
      </c>
      <c r="D8" s="122" t="s">
        <v>291</v>
      </c>
      <c r="E8" s="122" t="s">
        <v>292</v>
      </c>
      <c r="F8" s="123" t="s">
        <v>293</v>
      </c>
    </row>
    <row r="9" spans="2:6" ht="24.75" customHeight="1" x14ac:dyDescent="0.2">
      <c r="B9" s="199">
        <v>44042</v>
      </c>
      <c r="C9" s="200">
        <v>36759</v>
      </c>
      <c r="D9" s="201" t="s">
        <v>294</v>
      </c>
      <c r="E9" s="181">
        <v>320878.34000000003</v>
      </c>
      <c r="F9" s="200" t="s">
        <v>295</v>
      </c>
    </row>
    <row r="10" spans="2:6" ht="24.75" customHeight="1" x14ac:dyDescent="0.2">
      <c r="B10" s="202">
        <v>44042</v>
      </c>
      <c r="C10" s="203">
        <v>36760</v>
      </c>
      <c r="D10" s="201" t="s">
        <v>294</v>
      </c>
      <c r="E10" s="149">
        <v>320878.34000000003</v>
      </c>
      <c r="F10" s="203" t="s">
        <v>295</v>
      </c>
    </row>
    <row r="11" spans="2:6" ht="24.75" customHeight="1" x14ac:dyDescent="0.2">
      <c r="B11" s="202">
        <v>44042</v>
      </c>
      <c r="C11" s="203">
        <v>36762</v>
      </c>
      <c r="D11" s="201" t="s">
        <v>294</v>
      </c>
      <c r="E11" s="149">
        <v>261614.87</v>
      </c>
      <c r="F11" s="203" t="s">
        <v>295</v>
      </c>
    </row>
    <row r="12" spans="2:6" ht="24.75" customHeight="1" x14ac:dyDescent="0.2">
      <c r="B12" s="202">
        <v>44042</v>
      </c>
      <c r="C12" s="203">
        <v>36763</v>
      </c>
      <c r="D12" s="201" t="s">
        <v>294</v>
      </c>
      <c r="E12" s="149">
        <v>636759.86</v>
      </c>
      <c r="F12" s="203" t="s">
        <v>295</v>
      </c>
    </row>
    <row r="13" spans="2:6" ht="24.75" customHeight="1" x14ac:dyDescent="0.2">
      <c r="B13" s="202">
        <v>44042</v>
      </c>
      <c r="C13" s="203">
        <v>36765</v>
      </c>
      <c r="D13" s="201" t="s">
        <v>294</v>
      </c>
      <c r="E13" s="149">
        <v>636759.86</v>
      </c>
      <c r="F13" s="203" t="s">
        <v>295</v>
      </c>
    </row>
    <row r="14" spans="2:6" ht="24.75" customHeight="1" x14ac:dyDescent="0.2">
      <c r="B14" s="202">
        <v>44042</v>
      </c>
      <c r="C14" s="203">
        <v>36766</v>
      </c>
      <c r="D14" s="201" t="s">
        <v>294</v>
      </c>
      <c r="E14" s="149">
        <v>282294.27</v>
      </c>
      <c r="F14" s="203" t="s">
        <v>295</v>
      </c>
    </row>
    <row r="15" spans="2:6" ht="24.75" customHeight="1" x14ac:dyDescent="0.2">
      <c r="B15" s="202">
        <v>45681</v>
      </c>
      <c r="C15" s="203">
        <v>39988</v>
      </c>
      <c r="D15" s="201" t="s">
        <v>626</v>
      </c>
      <c r="E15" s="149">
        <v>260081.38</v>
      </c>
      <c r="F15" s="203" t="s">
        <v>295</v>
      </c>
    </row>
    <row r="16" spans="2:6" ht="24.75" customHeight="1" x14ac:dyDescent="0.2">
      <c r="B16" s="202">
        <v>45756</v>
      </c>
      <c r="C16" s="203">
        <v>40041</v>
      </c>
      <c r="D16" s="201" t="s">
        <v>745</v>
      </c>
      <c r="E16" s="149">
        <v>636029.56999999995</v>
      </c>
      <c r="F16" s="203" t="s">
        <v>295</v>
      </c>
    </row>
    <row r="17" spans="2:9" ht="24.75" customHeight="1" x14ac:dyDescent="0.35">
      <c r="B17" s="202">
        <v>45919</v>
      </c>
      <c r="C17" s="203">
        <v>40189</v>
      </c>
      <c r="D17" s="201" t="s">
        <v>863</v>
      </c>
      <c r="E17" s="190">
        <v>495961.65</v>
      </c>
      <c r="F17" s="203" t="s">
        <v>295</v>
      </c>
    </row>
    <row r="18" spans="2:9" ht="24.75" customHeight="1" x14ac:dyDescent="0.4">
      <c r="B18" s="191"/>
      <c r="C18" s="191"/>
      <c r="D18" s="192" t="s">
        <v>286</v>
      </c>
      <c r="E18" s="204">
        <f>SUM(E9:E17)</f>
        <v>3851258.1399999997</v>
      </c>
      <c r="F18" s="191"/>
      <c r="H18" s="26"/>
    </row>
    <row r="19" spans="2:9" ht="15.75" customHeight="1" x14ac:dyDescent="0.2">
      <c r="B19" s="191"/>
      <c r="C19" s="191"/>
      <c r="D19" s="191"/>
      <c r="E19" s="149"/>
      <c r="F19" s="191"/>
      <c r="I19" s="21"/>
    </row>
    <row r="20" spans="2:9" ht="24.75" customHeight="1" x14ac:dyDescent="0.25">
      <c r="D20" s="40"/>
      <c r="E20" s="26"/>
      <c r="F20" s="26"/>
    </row>
    <row r="21" spans="2:9" ht="24.75" customHeight="1" x14ac:dyDescent="0.2">
      <c r="D21" s="205" t="s">
        <v>296</v>
      </c>
      <c r="E21" s="26"/>
      <c r="H21" s="26"/>
    </row>
    <row r="22" spans="2:9" ht="24.75" customHeight="1" x14ac:dyDescent="0.2">
      <c r="E22" s="26"/>
    </row>
    <row r="23" spans="2:9" ht="24.75" customHeight="1" x14ac:dyDescent="0.2">
      <c r="E23" s="26"/>
    </row>
    <row r="24" spans="2:9" ht="24.75" customHeight="1" x14ac:dyDescent="0.2">
      <c r="E24" s="26"/>
    </row>
  </sheetData>
  <mergeCells count="5">
    <mergeCell ref="B2:F2"/>
    <mergeCell ref="B3:F3"/>
    <mergeCell ref="B4:F4"/>
    <mergeCell ref="B5:F5"/>
    <mergeCell ref="B6:F6"/>
  </mergeCells>
  <phoneticPr fontId="83" type="noConversion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B4:C11"/>
  <sheetViews>
    <sheetView workbookViewId="0">
      <selection activeCell="B8" sqref="B8"/>
    </sheetView>
  </sheetViews>
  <sheetFormatPr baseColWidth="10" defaultColWidth="11.42578125" defaultRowHeight="24.75" customHeight="1" x14ac:dyDescent="0.2"/>
  <cols>
    <col min="1" max="1" width="5.140625" style="1" customWidth="1"/>
    <col min="2" max="2" width="52" style="1" customWidth="1"/>
    <col min="3" max="3" width="25" style="1" customWidth="1"/>
    <col min="4" max="4" width="24.5703125" style="1" customWidth="1"/>
    <col min="5" max="16384" width="11.42578125" style="1"/>
  </cols>
  <sheetData>
    <row r="4" spans="2:3" ht="24.75" customHeight="1" x14ac:dyDescent="0.25">
      <c r="B4" s="632" t="s">
        <v>243</v>
      </c>
      <c r="C4" s="632"/>
    </row>
    <row r="5" spans="2:3" ht="24.75" customHeight="1" x14ac:dyDescent="0.25">
      <c r="B5" s="632" t="s">
        <v>223</v>
      </c>
      <c r="C5" s="632"/>
    </row>
    <row r="6" spans="2:3" ht="24.75" customHeight="1" x14ac:dyDescent="0.25">
      <c r="B6" s="632" t="s">
        <v>244</v>
      </c>
      <c r="C6" s="632"/>
    </row>
    <row r="7" spans="2:3" ht="24.75" customHeight="1" x14ac:dyDescent="0.25">
      <c r="B7" s="648">
        <v>45930</v>
      </c>
      <c r="C7" s="648"/>
    </row>
    <row r="8" spans="2:3" ht="24.75" customHeight="1" thickBot="1" x14ac:dyDescent="0.25">
      <c r="B8" s="4"/>
      <c r="C8" s="4"/>
    </row>
    <row r="9" spans="2:3" ht="24.75" customHeight="1" thickBot="1" x14ac:dyDescent="0.3">
      <c r="B9" s="446" t="s">
        <v>215</v>
      </c>
      <c r="C9" s="123" t="s">
        <v>226</v>
      </c>
    </row>
    <row r="10" spans="2:3" ht="24.75" customHeight="1" x14ac:dyDescent="0.25">
      <c r="B10" s="444" t="s">
        <v>297</v>
      </c>
      <c r="C10" s="445">
        <v>0</v>
      </c>
    </row>
    <row r="11" spans="2:3" ht="24.75" customHeight="1" thickBot="1" x14ac:dyDescent="0.3">
      <c r="B11" s="207" t="s">
        <v>242</v>
      </c>
      <c r="C11" s="208">
        <f>SUM(C10:C10)</f>
        <v>0</v>
      </c>
    </row>
  </sheetData>
  <mergeCells count="4">
    <mergeCell ref="B4:C4"/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1"/>
  <sheetViews>
    <sheetView topLeftCell="A4" workbookViewId="0">
      <selection activeCell="G10" sqref="G10"/>
    </sheetView>
  </sheetViews>
  <sheetFormatPr baseColWidth="10" defaultColWidth="11.42578125" defaultRowHeight="24.75" customHeight="1" x14ac:dyDescent="0.2"/>
  <cols>
    <col min="1" max="1" width="6.140625" style="1" customWidth="1"/>
    <col min="2" max="2" width="22.42578125" style="1" customWidth="1"/>
    <col min="3" max="3" width="18" style="1" bestFit="1" customWidth="1"/>
    <col min="4" max="4" width="18.85546875" style="1" customWidth="1"/>
    <col min="5" max="5" width="13.85546875" style="1" customWidth="1"/>
    <col min="6" max="6" width="18" style="1" customWidth="1"/>
    <col min="7" max="7" width="24.28515625" style="1" customWidth="1"/>
    <col min="8" max="8" width="16.42578125" style="1" customWidth="1"/>
    <col min="9" max="16384" width="11.42578125" style="1"/>
  </cols>
  <sheetData>
    <row r="1" spans="1:10" ht="24.75" customHeight="1" x14ac:dyDescent="0.2">
      <c r="A1" s="4"/>
      <c r="B1" s="4"/>
      <c r="C1" s="4"/>
      <c r="D1" s="4"/>
      <c r="E1" s="4"/>
      <c r="F1" s="4"/>
      <c r="G1" s="4"/>
      <c r="H1" s="4"/>
    </row>
    <row r="2" spans="1:10" ht="24.75" customHeight="1" x14ac:dyDescent="0.2">
      <c r="A2" s="4"/>
      <c r="B2" s="4"/>
      <c r="C2" s="4"/>
      <c r="D2" s="4"/>
      <c r="E2" s="4"/>
      <c r="F2" s="4"/>
      <c r="G2" s="4"/>
      <c r="H2" s="4"/>
    </row>
    <row r="3" spans="1:10" ht="24.75" customHeight="1" x14ac:dyDescent="0.25">
      <c r="A3" s="657" t="s">
        <v>243</v>
      </c>
      <c r="B3" s="657"/>
      <c r="C3" s="657"/>
      <c r="D3" s="657"/>
      <c r="E3" s="657"/>
      <c r="F3" s="657"/>
      <c r="G3" s="657"/>
      <c r="H3" s="657"/>
    </row>
    <row r="4" spans="1:10" ht="24.75" customHeight="1" x14ac:dyDescent="0.25">
      <c r="A4" s="657" t="s">
        <v>298</v>
      </c>
      <c r="B4" s="657"/>
      <c r="C4" s="657"/>
      <c r="D4" s="657"/>
      <c r="E4" s="657"/>
      <c r="F4" s="657"/>
      <c r="G4" s="657"/>
      <c r="H4" s="657"/>
    </row>
    <row r="5" spans="1:10" ht="24.75" customHeight="1" x14ac:dyDescent="0.25">
      <c r="A5" s="657" t="s">
        <v>890</v>
      </c>
      <c r="B5" s="657"/>
      <c r="C5" s="657"/>
      <c r="D5" s="657"/>
      <c r="E5" s="657"/>
      <c r="F5" s="657"/>
      <c r="G5" s="657"/>
      <c r="H5" s="657"/>
    </row>
    <row r="6" spans="1:10" ht="24.75" customHeight="1" x14ac:dyDescent="0.25">
      <c r="A6" s="658">
        <v>45930</v>
      </c>
      <c r="B6" s="658"/>
      <c r="C6" s="658"/>
      <c r="D6" s="658"/>
      <c r="E6" s="658"/>
      <c r="F6" s="658"/>
      <c r="G6" s="658"/>
      <c r="H6" s="658"/>
    </row>
    <row r="7" spans="1:10" ht="24.75" customHeight="1" thickBot="1" x14ac:dyDescent="0.3">
      <c r="A7" s="24"/>
      <c r="B7" s="209"/>
      <c r="C7" s="24"/>
      <c r="D7" s="24"/>
      <c r="E7" s="210"/>
      <c r="F7" s="24"/>
      <c r="G7" s="24"/>
      <c r="H7" s="24"/>
    </row>
    <row r="8" spans="1:10" ht="48" thickBot="1" x14ac:dyDescent="0.25">
      <c r="A8" s="598" t="s">
        <v>299</v>
      </c>
      <c r="B8" s="599" t="s">
        <v>300</v>
      </c>
      <c r="C8" s="600" t="s">
        <v>302</v>
      </c>
      <c r="D8" s="600" t="s">
        <v>293</v>
      </c>
      <c r="E8" s="600" t="s">
        <v>303</v>
      </c>
      <c r="F8" s="600" t="s">
        <v>304</v>
      </c>
      <c r="G8" s="600" t="s">
        <v>305</v>
      </c>
      <c r="H8" s="601" t="s">
        <v>306</v>
      </c>
    </row>
    <row r="9" spans="1:10" s="4" customFormat="1" ht="30" x14ac:dyDescent="0.2">
      <c r="A9" s="575">
        <v>1</v>
      </c>
      <c r="B9" s="429" t="s">
        <v>625</v>
      </c>
      <c r="C9" s="587">
        <v>87795</v>
      </c>
      <c r="D9" s="588" t="s">
        <v>892</v>
      </c>
      <c r="E9" s="589">
        <v>10</v>
      </c>
      <c r="F9" s="596">
        <v>5000</v>
      </c>
      <c r="G9" s="596">
        <f>5000+5000+5000+20000+5000+5000+5000+5000+5000</f>
        <v>60000</v>
      </c>
      <c r="H9" s="597">
        <f>+C9-G9</f>
        <v>27795</v>
      </c>
    </row>
    <row r="10" spans="1:10" s="4" customFormat="1" ht="39" customHeight="1" x14ac:dyDescent="0.35">
      <c r="A10" s="212">
        <v>2</v>
      </c>
      <c r="B10" s="211" t="s">
        <v>861</v>
      </c>
      <c r="C10" s="591">
        <v>179928.56</v>
      </c>
      <c r="D10" s="592" t="s">
        <v>891</v>
      </c>
      <c r="E10" s="212">
        <v>2</v>
      </c>
      <c r="F10" s="591">
        <v>94225.53</v>
      </c>
      <c r="G10" s="591">
        <v>94225.53</v>
      </c>
      <c r="H10" s="593">
        <f>+C10-G10</f>
        <v>85703.03</v>
      </c>
    </row>
    <row r="11" spans="1:10" s="4" customFormat="1" ht="25.5" customHeight="1" x14ac:dyDescent="0.4">
      <c r="A11" s="211"/>
      <c r="B11" s="213" t="s">
        <v>286</v>
      </c>
      <c r="C11" s="214">
        <f>SUM(C9:C10)</f>
        <v>267723.56</v>
      </c>
      <c r="D11" s="214"/>
      <c r="E11" s="215"/>
      <c r="F11" s="214">
        <f>SUM(F9:F10)</f>
        <v>99225.53</v>
      </c>
      <c r="G11" s="214">
        <f>SUM(G9:G10)</f>
        <v>154225.53</v>
      </c>
      <c r="H11" s="214">
        <f>SUM(H9:H10)</f>
        <v>113498.03</v>
      </c>
      <c r="J11" s="21"/>
    </row>
    <row r="12" spans="1:10" s="4" customFormat="1" ht="17.25" customHeight="1" x14ac:dyDescent="0.4">
      <c r="A12" s="211"/>
      <c r="B12" s="594"/>
      <c r="C12" s="214"/>
      <c r="D12" s="214"/>
      <c r="E12" s="595"/>
      <c r="F12" s="214"/>
      <c r="G12" s="214"/>
      <c r="H12" s="214"/>
    </row>
    <row r="13" spans="1:10" ht="24.75" customHeight="1" x14ac:dyDescent="0.2">
      <c r="A13" s="4"/>
      <c r="B13" s="4"/>
      <c r="C13" s="4"/>
      <c r="D13" s="4"/>
      <c r="E13" s="4"/>
      <c r="F13" s="4"/>
      <c r="G13" s="4"/>
      <c r="H13" s="4"/>
    </row>
    <row r="14" spans="1:10" ht="24.75" customHeight="1" x14ac:dyDescent="0.2">
      <c r="F14" s="216"/>
      <c r="G14" s="216"/>
    </row>
    <row r="15" spans="1:10" ht="24.75" customHeight="1" x14ac:dyDescent="0.2">
      <c r="E15" s="216"/>
    </row>
    <row r="16" spans="1:10" ht="24.75" customHeight="1" x14ac:dyDescent="0.2">
      <c r="E16" s="216"/>
      <c r="H16" s="216"/>
    </row>
    <row r="17" spans="5:5" ht="24.75" customHeight="1" x14ac:dyDescent="0.2">
      <c r="E17" s="216"/>
    </row>
    <row r="18" spans="5:5" ht="24.75" customHeight="1" x14ac:dyDescent="0.2">
      <c r="E18" s="216"/>
    </row>
    <row r="19" spans="5:5" ht="24.75" customHeight="1" x14ac:dyDescent="0.2">
      <c r="E19" s="216"/>
    </row>
    <row r="20" spans="5:5" ht="24.75" customHeight="1" x14ac:dyDescent="0.2">
      <c r="E20" s="216"/>
    </row>
    <row r="21" spans="5:5" ht="24.75" customHeight="1" x14ac:dyDescent="0.2">
      <c r="E21" s="216"/>
    </row>
  </sheetData>
  <mergeCells count="4">
    <mergeCell ref="A3:H3"/>
    <mergeCell ref="A4:H4"/>
    <mergeCell ref="A5:H5"/>
    <mergeCell ref="A6:H6"/>
  </mergeCells>
  <pageMargins left="0.51181102362204722" right="0.70866141732283472" top="0.74803149606299213" bottom="0.74803149606299213" header="0.31496062992125984" footer="0.31496062992125984"/>
  <pageSetup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4:G19"/>
  <sheetViews>
    <sheetView zoomScaleNormal="100" workbookViewId="0">
      <selection activeCell="E14" sqref="E14"/>
    </sheetView>
  </sheetViews>
  <sheetFormatPr baseColWidth="10" defaultColWidth="9.140625" defaultRowHeight="24.75" customHeight="1" x14ac:dyDescent="0.2"/>
  <cols>
    <col min="1" max="1" width="5.5703125" style="4" customWidth="1"/>
    <col min="2" max="2" width="39" style="4" customWidth="1"/>
    <col min="3" max="3" width="22.42578125" style="4" customWidth="1"/>
    <col min="4" max="4" width="15.7109375" style="4" bestFit="1" customWidth="1"/>
    <col min="5" max="5" width="15.85546875" style="4" customWidth="1"/>
    <col min="6" max="6" width="11.140625" style="4" bestFit="1" customWidth="1"/>
    <col min="7" max="7" width="12.7109375" style="4" bestFit="1" customWidth="1"/>
    <col min="8" max="9" width="9.140625" style="4"/>
    <col min="10" max="10" width="13.5703125" style="4" customWidth="1"/>
    <col min="11" max="11" width="9.140625" style="4"/>
    <col min="12" max="12" width="15.5703125" style="4" bestFit="1" customWidth="1"/>
    <col min="13" max="16384" width="9.140625" style="4"/>
  </cols>
  <sheetData>
    <row r="4" spans="2:7" ht="24.75" customHeight="1" x14ac:dyDescent="0.25">
      <c r="B4" s="632" t="s">
        <v>243</v>
      </c>
      <c r="C4" s="632"/>
    </row>
    <row r="5" spans="2:7" ht="24.75" customHeight="1" x14ac:dyDescent="0.25">
      <c r="B5" s="632" t="s">
        <v>223</v>
      </c>
      <c r="C5" s="632"/>
    </row>
    <row r="6" spans="2:7" ht="24.75" customHeight="1" x14ac:dyDescent="0.25">
      <c r="B6" s="632" t="s">
        <v>244</v>
      </c>
      <c r="C6" s="632"/>
    </row>
    <row r="7" spans="2:7" ht="24.75" customHeight="1" x14ac:dyDescent="0.25">
      <c r="B7" s="648">
        <v>45930</v>
      </c>
      <c r="C7" s="648"/>
      <c r="D7" s="6"/>
    </row>
    <row r="8" spans="2:7" ht="24.75" customHeight="1" thickBot="1" x14ac:dyDescent="0.25">
      <c r="D8" s="29"/>
    </row>
    <row r="9" spans="2:7" ht="24.75" customHeight="1" thickBot="1" x14ac:dyDescent="0.3">
      <c r="B9" s="121" t="s">
        <v>308</v>
      </c>
      <c r="C9" s="123" t="s">
        <v>226</v>
      </c>
    </row>
    <row r="10" spans="2:7" ht="24.75" hidden="1" customHeight="1" x14ac:dyDescent="0.2">
      <c r="B10" s="124" t="s">
        <v>309</v>
      </c>
      <c r="C10" s="590">
        <v>0</v>
      </c>
      <c r="D10" s="26"/>
      <c r="F10" s="187"/>
      <c r="G10" s="26"/>
    </row>
    <row r="11" spans="2:7" ht="24.75" customHeight="1" x14ac:dyDescent="0.2">
      <c r="B11" s="124" t="s">
        <v>310</v>
      </c>
      <c r="C11" s="219">
        <v>80099.02</v>
      </c>
      <c r="D11" s="26"/>
      <c r="G11" s="26"/>
    </row>
    <row r="12" spans="2:7" ht="24.75" customHeight="1" x14ac:dyDescent="0.4">
      <c r="B12" s="132" t="s">
        <v>242</v>
      </c>
      <c r="C12" s="134">
        <f>SUM(C10:C11)</f>
        <v>80099.02</v>
      </c>
      <c r="G12" s="26"/>
    </row>
    <row r="13" spans="2:7" ht="24.75" customHeight="1" thickBot="1" x14ac:dyDescent="0.25">
      <c r="B13" s="135"/>
      <c r="C13" s="220"/>
    </row>
    <row r="14" spans="2:7" ht="24.75" customHeight="1" x14ac:dyDescent="0.2">
      <c r="E14" s="26"/>
    </row>
    <row r="15" spans="2:7" ht="24.75" customHeight="1" x14ac:dyDescent="0.25">
      <c r="C15" s="512"/>
      <c r="E15" s="26"/>
    </row>
    <row r="17" spans="2:3" ht="24.75" customHeight="1" x14ac:dyDescent="0.2">
      <c r="C17" s="21"/>
    </row>
    <row r="18" spans="2:3" ht="24.75" customHeight="1" x14ac:dyDescent="0.2">
      <c r="C18" s="21"/>
    </row>
    <row r="19" spans="2:3" ht="24.75" customHeight="1" x14ac:dyDescent="0.2">
      <c r="B19" s="221" t="s">
        <v>311</v>
      </c>
      <c r="C19" s="21"/>
    </row>
  </sheetData>
  <mergeCells count="4">
    <mergeCell ref="B5:C5"/>
    <mergeCell ref="B6:C6"/>
    <mergeCell ref="B7:C7"/>
    <mergeCell ref="B4:C4"/>
  </mergeCells>
  <pageMargins left="1.299212598425197" right="0.70866141732283472" top="0.74803149606299213" bottom="0.74803149606299213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B2:G56"/>
  <sheetViews>
    <sheetView topLeftCell="A23" zoomScale="90" zoomScaleNormal="90" workbookViewId="0">
      <selection activeCell="D27" sqref="D27"/>
    </sheetView>
  </sheetViews>
  <sheetFormatPr baseColWidth="10" defaultColWidth="11.42578125" defaultRowHeight="24.75" customHeight="1" x14ac:dyDescent="0.2"/>
  <cols>
    <col min="1" max="1" width="6.140625" style="4" customWidth="1"/>
    <col min="2" max="2" width="49.85546875" style="4" customWidth="1"/>
    <col min="3" max="3" width="30.5703125" style="4" bestFit="1" customWidth="1"/>
    <col min="4" max="4" width="22.85546875" style="29" customWidth="1"/>
    <col min="5" max="5" width="16.28515625" style="4" bestFit="1" customWidth="1"/>
    <col min="6" max="6" width="19" style="4" bestFit="1" customWidth="1"/>
    <col min="7" max="7" width="16.85546875" style="4" bestFit="1" customWidth="1"/>
    <col min="8" max="8" width="11.42578125" style="4"/>
    <col min="9" max="9" width="15.85546875" style="4" bestFit="1" customWidth="1"/>
    <col min="10" max="10" width="11.5703125" style="4" bestFit="1" customWidth="1"/>
    <col min="11" max="16384" width="11.42578125" style="4"/>
  </cols>
  <sheetData>
    <row r="2" spans="2:5" ht="24.75" customHeight="1" x14ac:dyDescent="0.25">
      <c r="B2" s="632" t="s">
        <v>312</v>
      </c>
      <c r="C2" s="632"/>
      <c r="E2" s="114"/>
    </row>
    <row r="3" spans="2:5" ht="21.75" customHeight="1" x14ac:dyDescent="0.25">
      <c r="B3" s="632" t="s">
        <v>223</v>
      </c>
      <c r="C3" s="632"/>
      <c r="E3" s="114"/>
    </row>
    <row r="4" spans="2:5" ht="21.75" customHeight="1" x14ac:dyDescent="0.25">
      <c r="B4" s="632" t="s">
        <v>790</v>
      </c>
      <c r="C4" s="632"/>
      <c r="E4" s="114"/>
    </row>
    <row r="5" spans="2:5" ht="21.75" customHeight="1" x14ac:dyDescent="0.25">
      <c r="B5" s="648">
        <v>45930</v>
      </c>
      <c r="C5" s="648"/>
      <c r="E5" s="114"/>
    </row>
    <row r="6" spans="2:5" ht="16.5" thickBot="1" x14ac:dyDescent="0.3">
      <c r="B6" s="118"/>
      <c r="C6" s="118"/>
      <c r="E6" s="114"/>
    </row>
    <row r="7" spans="2:5" ht="24.75" customHeight="1" thickBot="1" x14ac:dyDescent="0.3">
      <c r="B7" s="121" t="s">
        <v>215</v>
      </c>
      <c r="C7" s="123" t="s">
        <v>226</v>
      </c>
    </row>
    <row r="8" spans="2:5" ht="24.75" customHeight="1" x14ac:dyDescent="0.25">
      <c r="B8" s="222" t="s">
        <v>313</v>
      </c>
      <c r="C8" s="223"/>
    </row>
    <row r="9" spans="2:5" ht="24.75" customHeight="1" x14ac:dyDescent="0.2">
      <c r="B9" s="167" t="s">
        <v>792</v>
      </c>
      <c r="C9" s="223">
        <v>336833.26</v>
      </c>
    </row>
    <row r="10" spans="2:5" ht="24.75" customHeight="1" x14ac:dyDescent="0.2">
      <c r="B10" s="167" t="s">
        <v>793</v>
      </c>
      <c r="C10" s="223">
        <v>149504.07999999999</v>
      </c>
    </row>
    <row r="11" spans="2:5" ht="24.75" customHeight="1" x14ac:dyDescent="0.2">
      <c r="B11" s="167" t="s">
        <v>794</v>
      </c>
      <c r="C11" s="223">
        <v>168635.27</v>
      </c>
    </row>
    <row r="12" spans="2:5" ht="24.75" customHeight="1" x14ac:dyDescent="0.2">
      <c r="B12" s="167" t="s">
        <v>795</v>
      </c>
      <c r="C12" s="223">
        <v>1337771.77</v>
      </c>
    </row>
    <row r="13" spans="2:5" ht="24.75" customHeight="1" x14ac:dyDescent="0.2">
      <c r="B13" s="167" t="s">
        <v>796</v>
      </c>
      <c r="C13" s="223">
        <v>110462.06</v>
      </c>
    </row>
    <row r="14" spans="2:5" ht="24.75" customHeight="1" x14ac:dyDescent="0.2">
      <c r="B14" s="167" t="s">
        <v>833</v>
      </c>
      <c r="C14" s="223">
        <v>637676.12</v>
      </c>
    </row>
    <row r="15" spans="2:5" ht="24.75" customHeight="1" x14ac:dyDescent="0.2">
      <c r="B15" s="167" t="s">
        <v>797</v>
      </c>
      <c r="C15" s="223">
        <v>494874.55</v>
      </c>
    </row>
    <row r="16" spans="2:5" ht="24.75" customHeight="1" x14ac:dyDescent="0.2">
      <c r="B16" s="167" t="s">
        <v>791</v>
      </c>
      <c r="C16" s="223">
        <v>121481.72</v>
      </c>
    </row>
    <row r="17" spans="2:5" ht="17.25" x14ac:dyDescent="0.35">
      <c r="B17" s="167" t="s">
        <v>628</v>
      </c>
      <c r="C17" s="224">
        <v>26712.84</v>
      </c>
    </row>
    <row r="18" spans="2:5" ht="24.75" customHeight="1" x14ac:dyDescent="0.25">
      <c r="B18" s="225" t="s">
        <v>314</v>
      </c>
      <c r="C18" s="226">
        <f>SUM(C9:C17)</f>
        <v>3383951.67</v>
      </c>
    </row>
    <row r="19" spans="2:5" ht="24.75" customHeight="1" x14ac:dyDescent="0.2">
      <c r="B19" s="227"/>
      <c r="C19" s="228"/>
    </row>
    <row r="20" spans="2:5" ht="24.75" customHeight="1" x14ac:dyDescent="0.25">
      <c r="B20" s="172" t="s">
        <v>315</v>
      </c>
      <c r="C20" s="229"/>
    </row>
    <row r="21" spans="2:5" ht="24.75" customHeight="1" x14ac:dyDescent="0.2">
      <c r="B21" s="169" t="s">
        <v>834</v>
      </c>
      <c r="C21" s="229">
        <v>435189.37</v>
      </c>
    </row>
    <row r="22" spans="2:5" ht="24.75" customHeight="1" x14ac:dyDescent="0.2">
      <c r="B22" s="169" t="s">
        <v>835</v>
      </c>
      <c r="C22" s="229">
        <v>61820.11</v>
      </c>
    </row>
    <row r="23" spans="2:5" ht="24.75" customHeight="1" x14ac:dyDescent="0.2">
      <c r="B23" s="169" t="s">
        <v>318</v>
      </c>
      <c r="C23" s="229">
        <v>180332.55</v>
      </c>
    </row>
    <row r="24" spans="2:5" ht="24.75" customHeight="1" x14ac:dyDescent="0.2">
      <c r="B24" s="169" t="s">
        <v>317</v>
      </c>
      <c r="C24" s="229">
        <v>76462.66</v>
      </c>
    </row>
    <row r="25" spans="2:5" ht="24.75" customHeight="1" x14ac:dyDescent="0.2">
      <c r="B25" s="169" t="s">
        <v>316</v>
      </c>
      <c r="C25" s="229">
        <v>114895.66</v>
      </c>
    </row>
    <row r="26" spans="2:5" ht="24.75" customHeight="1" x14ac:dyDescent="0.2">
      <c r="B26" s="169" t="s">
        <v>629</v>
      </c>
      <c r="C26" s="229">
        <v>124866.82</v>
      </c>
      <c r="E26" s="236"/>
    </row>
    <row r="27" spans="2:5" ht="17.25" x14ac:dyDescent="0.35">
      <c r="B27" s="169" t="s">
        <v>319</v>
      </c>
      <c r="C27" s="230">
        <v>261223.67999999999</v>
      </c>
    </row>
    <row r="28" spans="2:5" ht="27" customHeight="1" x14ac:dyDescent="0.55000000000000004">
      <c r="B28" s="225" t="s">
        <v>320</v>
      </c>
      <c r="C28" s="496">
        <f>SUM(C21:C27)</f>
        <v>1254790.8500000001</v>
      </c>
    </row>
    <row r="29" spans="2:5" ht="24.75" customHeight="1" x14ac:dyDescent="0.55000000000000004">
      <c r="B29" s="225"/>
      <c r="C29" s="231"/>
    </row>
    <row r="30" spans="2:5" ht="24.75" customHeight="1" x14ac:dyDescent="0.4">
      <c r="B30" s="232" t="s">
        <v>242</v>
      </c>
      <c r="C30" s="233">
        <f>+C18+C28</f>
        <v>4638742.5199999996</v>
      </c>
    </row>
    <row r="31" spans="2:5" ht="24.75" customHeight="1" thickBot="1" x14ac:dyDescent="0.25">
      <c r="B31" s="174"/>
      <c r="C31" s="175"/>
    </row>
    <row r="32" spans="2:5" ht="24.75" customHeight="1" x14ac:dyDescent="0.2">
      <c r="C32" s="29"/>
    </row>
    <row r="33" spans="3:3" ht="24.75" hidden="1" customHeight="1" x14ac:dyDescent="0.2">
      <c r="C33" s="29"/>
    </row>
    <row r="34" spans="3:3" ht="24.75" hidden="1" customHeight="1" thickBot="1" x14ac:dyDescent="0.25">
      <c r="C34" s="29"/>
    </row>
    <row r="35" spans="3:3" ht="24.75" customHeight="1" x14ac:dyDescent="0.2">
      <c r="C35" s="29"/>
    </row>
    <row r="36" spans="3:3" ht="11.25" customHeight="1" x14ac:dyDescent="0.2">
      <c r="C36" s="29"/>
    </row>
    <row r="37" spans="3:3" ht="24.75" customHeight="1" x14ac:dyDescent="0.2">
      <c r="C37" s="29"/>
    </row>
    <row r="38" spans="3:3" ht="24.75" customHeight="1" x14ac:dyDescent="0.2">
      <c r="C38" s="29"/>
    </row>
    <row r="39" spans="3:3" ht="24.75" customHeight="1" x14ac:dyDescent="0.2">
      <c r="C39" s="29"/>
    </row>
    <row r="40" spans="3:3" ht="24.75" customHeight="1" x14ac:dyDescent="0.2">
      <c r="C40" s="29"/>
    </row>
    <row r="41" spans="3:3" ht="24.75" customHeight="1" x14ac:dyDescent="0.2">
      <c r="C41" s="29"/>
    </row>
    <row r="42" spans="3:3" ht="24.75" customHeight="1" x14ac:dyDescent="0.2">
      <c r="C42" s="29"/>
    </row>
    <row r="43" spans="3:3" ht="24.75" customHeight="1" x14ac:dyDescent="0.2">
      <c r="C43" s="29"/>
    </row>
    <row r="44" spans="3:3" ht="24.75" customHeight="1" x14ac:dyDescent="0.2">
      <c r="C44" s="29"/>
    </row>
    <row r="45" spans="3:3" ht="24.75" customHeight="1" x14ac:dyDescent="0.2">
      <c r="C45" s="29"/>
    </row>
    <row r="56" spans="5:7" ht="24.75" customHeight="1" x14ac:dyDescent="0.2">
      <c r="E56" s="29"/>
      <c r="F56" s="29"/>
      <c r="G56" s="29"/>
    </row>
  </sheetData>
  <mergeCells count="4">
    <mergeCell ref="B2:C2"/>
    <mergeCell ref="B4:C4"/>
    <mergeCell ref="B5:C5"/>
    <mergeCell ref="B3:C3"/>
  </mergeCells>
  <phoneticPr fontId="75" type="noConversion"/>
  <pageMargins left="0.70866141732283472" right="0.70866141732283472" top="0.43307086614173229" bottom="0.74803149606299213" header="0.31496062992125984" footer="0.31496062992125984"/>
  <pageSetup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3:J37"/>
  <sheetViews>
    <sheetView topLeftCell="A12" zoomScaleNormal="100" workbookViewId="0">
      <selection activeCell="D22" sqref="D22"/>
    </sheetView>
  </sheetViews>
  <sheetFormatPr baseColWidth="10" defaultColWidth="11.42578125" defaultRowHeight="24.75" customHeight="1" x14ac:dyDescent="0.2"/>
  <cols>
    <col min="1" max="1" width="7.5703125" style="4" customWidth="1"/>
    <col min="2" max="2" width="39.28515625" style="4" customWidth="1"/>
    <col min="3" max="4" width="19.28515625" style="4" customWidth="1"/>
    <col min="5" max="5" width="15.85546875" style="4" bestFit="1" customWidth="1"/>
    <col min="6" max="6" width="23.42578125" style="4" bestFit="1" customWidth="1"/>
    <col min="7" max="16384" width="11.42578125" style="4"/>
  </cols>
  <sheetData>
    <row r="3" spans="2:10" ht="24.75" customHeight="1" x14ac:dyDescent="0.25">
      <c r="B3" s="632" t="s">
        <v>321</v>
      </c>
      <c r="C3" s="632"/>
      <c r="D3" s="632"/>
    </row>
    <row r="4" spans="2:10" ht="30" customHeight="1" x14ac:dyDescent="0.25">
      <c r="B4" s="632" t="s">
        <v>223</v>
      </c>
      <c r="C4" s="632"/>
      <c r="D4" s="632"/>
    </row>
    <row r="5" spans="2:10" ht="31.5" customHeight="1" x14ac:dyDescent="0.25">
      <c r="B5" s="659" t="s">
        <v>322</v>
      </c>
      <c r="C5" s="659"/>
      <c r="D5" s="659"/>
      <c r="I5" s="28"/>
      <c r="J5" s="28"/>
    </row>
    <row r="6" spans="2:10" ht="24.75" customHeight="1" x14ac:dyDescent="0.25">
      <c r="B6" s="648">
        <v>45930</v>
      </c>
      <c r="C6" s="648"/>
      <c r="D6" s="648"/>
    </row>
    <row r="7" spans="2:10" ht="24.75" customHeight="1" thickBot="1" x14ac:dyDescent="0.3">
      <c r="B7" s="118"/>
      <c r="C7" s="118"/>
      <c r="D7" s="118"/>
    </row>
    <row r="8" spans="2:10" ht="24.75" customHeight="1" thickBot="1" x14ac:dyDescent="0.3">
      <c r="B8" s="121" t="s">
        <v>215</v>
      </c>
      <c r="C8" s="660" t="s">
        <v>226</v>
      </c>
      <c r="D8" s="661"/>
    </row>
    <row r="9" spans="2:10" ht="21.75" customHeight="1" x14ac:dyDescent="0.2">
      <c r="B9" s="167" t="s">
        <v>323</v>
      </c>
      <c r="C9" s="223"/>
      <c r="D9" s="223">
        <f>+'NOTA 5-SEG PAG X ANT'!F52</f>
        <v>82220.63</v>
      </c>
    </row>
    <row r="10" spans="2:10" ht="24.75" customHeight="1" x14ac:dyDescent="0.2">
      <c r="B10" s="169" t="s">
        <v>633</v>
      </c>
      <c r="C10" s="229"/>
      <c r="D10" s="229"/>
    </row>
    <row r="11" spans="2:10" ht="24.75" customHeight="1" x14ac:dyDescent="0.2">
      <c r="B11" s="169" t="s">
        <v>324</v>
      </c>
      <c r="C11" s="229">
        <f>+'NOTA 5 - LIC MS 365 AMORTIZ'!F43</f>
        <v>873373.99999999988</v>
      </c>
      <c r="D11" s="229"/>
    </row>
    <row r="12" spans="2:10" ht="24.75" customHeight="1" x14ac:dyDescent="0.2">
      <c r="B12" s="169" t="s">
        <v>728</v>
      </c>
      <c r="C12" s="229">
        <f>+'NOTA 5 LIC ALDABA LINKEDIN'!F41</f>
        <v>218000.0033333333</v>
      </c>
      <c r="D12" s="229"/>
    </row>
    <row r="13" spans="2:10" ht="24.75" customHeight="1" x14ac:dyDescent="0.2">
      <c r="B13" s="169" t="s">
        <v>325</v>
      </c>
      <c r="C13" s="229">
        <f>+'NOTA 5 LICENCIAS JIRA'!F43</f>
        <v>0</v>
      </c>
      <c r="D13" s="229"/>
    </row>
    <row r="14" spans="2:10" ht="24.75" customHeight="1" x14ac:dyDescent="0.2">
      <c r="B14" s="169" t="s">
        <v>326</v>
      </c>
      <c r="C14" s="229">
        <f>+'NOTA 5 LIC ANTIDESASTRES'!F44</f>
        <v>1229166.6666666667</v>
      </c>
      <c r="D14" s="229"/>
      <c r="E14" s="21"/>
    </row>
    <row r="15" spans="2:10" ht="24.75" customHeight="1" x14ac:dyDescent="0.2">
      <c r="B15" s="169" t="s">
        <v>327</v>
      </c>
      <c r="C15" s="229">
        <f>+'NOTA 5 Licencias Adobe'!F43</f>
        <v>114089.27166666667</v>
      </c>
      <c r="D15" s="229"/>
      <c r="E15" s="21"/>
    </row>
    <row r="16" spans="2:10" ht="24.75" customHeight="1" x14ac:dyDescent="0.35">
      <c r="B16" s="169" t="s">
        <v>825</v>
      </c>
      <c r="C16" s="230">
        <f>+'NOTA 5 Lic Vincent IA'!F43</f>
        <v>312344.99</v>
      </c>
      <c r="D16" s="229"/>
    </row>
    <row r="17" spans="2:5" ht="24.75" customHeight="1" x14ac:dyDescent="0.35">
      <c r="B17" s="234" t="s">
        <v>632</v>
      </c>
      <c r="C17" s="230"/>
      <c r="D17" s="230">
        <f>SUM(C11:C16)</f>
        <v>2746974.9316666666</v>
      </c>
    </row>
    <row r="18" spans="2:5" ht="24.75" customHeight="1" x14ac:dyDescent="0.35">
      <c r="B18" s="234"/>
      <c r="C18" s="230"/>
      <c r="D18" s="230"/>
    </row>
    <row r="19" spans="2:5" ht="24.75" customHeight="1" x14ac:dyDescent="0.4">
      <c r="B19" s="172" t="s">
        <v>242</v>
      </c>
      <c r="C19" s="235"/>
      <c r="D19" s="235">
        <f>SUM(D9:D17)</f>
        <v>2829195.5616666665</v>
      </c>
    </row>
    <row r="20" spans="2:5" ht="22.5" customHeight="1" thickBot="1" x14ac:dyDescent="0.25">
      <c r="B20" s="174"/>
      <c r="C20" s="175"/>
      <c r="D20" s="175"/>
    </row>
    <row r="21" spans="2:5" ht="18" customHeight="1" x14ac:dyDescent="0.2">
      <c r="B21" s="236"/>
      <c r="C21" s="236"/>
      <c r="D21" s="236"/>
    </row>
    <row r="22" spans="2:5" ht="18" customHeight="1" x14ac:dyDescent="0.3">
      <c r="B22" s="236"/>
      <c r="C22" s="236"/>
      <c r="D22" s="545"/>
    </row>
    <row r="23" spans="2:5" ht="18" customHeight="1" x14ac:dyDescent="0.2">
      <c r="B23" s="236"/>
      <c r="C23" s="236"/>
      <c r="D23" s="236"/>
    </row>
    <row r="24" spans="2:5" ht="18" customHeight="1" x14ac:dyDescent="0.2">
      <c r="B24" s="236"/>
      <c r="C24" s="236"/>
      <c r="D24" s="236"/>
    </row>
    <row r="25" spans="2:5" ht="18" customHeight="1" x14ac:dyDescent="0.2">
      <c r="B25" s="236"/>
      <c r="C25" s="236"/>
      <c r="D25" s="236"/>
      <c r="E25" s="21"/>
    </row>
    <row r="26" spans="2:5" ht="24.75" customHeight="1" x14ac:dyDescent="0.2">
      <c r="D26" s="21"/>
    </row>
    <row r="27" spans="2:5" ht="24.75" hidden="1" customHeight="1" x14ac:dyDescent="0.2">
      <c r="B27" s="4" t="s">
        <v>328</v>
      </c>
      <c r="D27" s="21"/>
    </row>
    <row r="28" spans="2:5" ht="24.75" hidden="1" customHeight="1" x14ac:dyDescent="0.2">
      <c r="B28" s="4" t="s">
        <v>329</v>
      </c>
      <c r="D28" s="21"/>
    </row>
    <row r="29" spans="2:5" ht="24.75" hidden="1" customHeight="1" x14ac:dyDescent="0.2">
      <c r="B29" s="4" t="s">
        <v>330</v>
      </c>
      <c r="D29" s="21"/>
    </row>
    <row r="30" spans="2:5" ht="24.75" hidden="1" customHeight="1" x14ac:dyDescent="0.2">
      <c r="B30" s="4" t="s">
        <v>331</v>
      </c>
      <c r="D30" s="21"/>
    </row>
    <row r="31" spans="2:5" ht="24.75" hidden="1" customHeight="1" x14ac:dyDescent="0.2">
      <c r="B31" s="4" t="s">
        <v>332</v>
      </c>
      <c r="D31" s="21"/>
    </row>
    <row r="32" spans="2:5" ht="24.75" hidden="1" customHeight="1" thickBot="1" x14ac:dyDescent="0.25">
      <c r="B32" s="4" t="s">
        <v>333</v>
      </c>
      <c r="D32" s="21"/>
    </row>
    <row r="33" spans="4:4" ht="24.75" hidden="1" customHeight="1" thickTop="1" x14ac:dyDescent="0.2">
      <c r="D33" s="21"/>
    </row>
    <row r="34" spans="4:4" ht="24.75" customHeight="1" x14ac:dyDescent="0.2">
      <c r="D34" s="21"/>
    </row>
    <row r="35" spans="4:4" ht="24.75" customHeight="1" x14ac:dyDescent="0.2">
      <c r="D35" s="21"/>
    </row>
    <row r="36" spans="4:4" ht="24.75" customHeight="1" x14ac:dyDescent="0.2">
      <c r="D36" s="21"/>
    </row>
    <row r="37" spans="4:4" ht="24.75" customHeight="1" x14ac:dyDescent="0.2">
      <c r="D37" s="21"/>
    </row>
  </sheetData>
  <mergeCells count="5">
    <mergeCell ref="B3:D3"/>
    <mergeCell ref="B5:D5"/>
    <mergeCell ref="B6:D6"/>
    <mergeCell ref="B4:D4"/>
    <mergeCell ref="C8:D8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4:G61"/>
  <sheetViews>
    <sheetView zoomScale="110" zoomScaleNormal="110" workbookViewId="0">
      <selection activeCell="E54" sqref="E54:G61"/>
    </sheetView>
  </sheetViews>
  <sheetFormatPr baseColWidth="10" defaultColWidth="11.5703125" defaultRowHeight="15" x14ac:dyDescent="0.2"/>
  <cols>
    <col min="1" max="1" width="11.5703125" style="4" customWidth="1"/>
    <col min="2" max="2" width="24.5703125" style="4" customWidth="1"/>
    <col min="3" max="3" width="12" style="4" customWidth="1"/>
    <col min="4" max="4" width="21.42578125" style="4" customWidth="1"/>
    <col min="5" max="5" width="11.5703125" style="4" customWidth="1"/>
    <col min="6" max="6" width="16.5703125" style="4" bestFit="1" customWidth="1"/>
    <col min="7" max="7" width="16.42578125" style="4" bestFit="1" customWidth="1"/>
    <col min="8" max="16384" width="11.5703125" style="4"/>
  </cols>
  <sheetData>
    <row r="4" spans="2:6" ht="21.75" customHeight="1" x14ac:dyDescent="0.25">
      <c r="B4" s="632" t="s">
        <v>321</v>
      </c>
      <c r="C4" s="632"/>
      <c r="D4" s="632"/>
      <c r="E4" s="632"/>
      <c r="F4" s="632"/>
    </row>
    <row r="5" spans="2:6" ht="21.75" customHeight="1" x14ac:dyDescent="0.25">
      <c r="B5" s="632" t="s">
        <v>223</v>
      </c>
      <c r="C5" s="632"/>
      <c r="D5" s="632"/>
      <c r="E5" s="632"/>
      <c r="F5" s="632"/>
    </row>
    <row r="6" spans="2:6" ht="21.75" customHeight="1" x14ac:dyDescent="0.25">
      <c r="B6" s="632" t="s">
        <v>334</v>
      </c>
      <c r="C6" s="632"/>
      <c r="D6" s="632"/>
      <c r="E6" s="632"/>
      <c r="F6" s="632"/>
    </row>
    <row r="7" spans="2:6" ht="21.75" customHeight="1" x14ac:dyDescent="0.25">
      <c r="B7" s="662">
        <v>45930</v>
      </c>
      <c r="C7" s="662"/>
      <c r="D7" s="662"/>
      <c r="E7" s="662"/>
      <c r="F7" s="662"/>
    </row>
    <row r="9" spans="2:6" ht="21" customHeight="1" x14ac:dyDescent="0.2">
      <c r="B9" s="663" t="s">
        <v>335</v>
      </c>
      <c r="C9" s="663"/>
      <c r="D9" s="663"/>
      <c r="E9" s="663"/>
      <c r="F9" s="663"/>
    </row>
    <row r="10" spans="2:6" ht="21" customHeight="1" x14ac:dyDescent="0.25">
      <c r="B10" s="625" t="s">
        <v>738</v>
      </c>
      <c r="C10" s="625"/>
      <c r="D10" s="625"/>
      <c r="E10" s="625"/>
      <c r="F10" s="625"/>
    </row>
    <row r="11" spans="2:6" ht="21" customHeight="1" x14ac:dyDescent="0.25">
      <c r="B11" s="625" t="s">
        <v>739</v>
      </c>
      <c r="C11" s="625"/>
      <c r="D11" s="625"/>
      <c r="E11" s="625"/>
      <c r="F11" s="625"/>
    </row>
    <row r="12" spans="2:6" ht="15.75" thickBot="1" x14ac:dyDescent="0.25">
      <c r="B12" s="5"/>
      <c r="C12" s="5"/>
      <c r="D12" s="5"/>
      <c r="E12" s="5"/>
      <c r="F12" s="5"/>
    </row>
    <row r="13" spans="2:6" ht="18" customHeight="1" thickBot="1" x14ac:dyDescent="0.3">
      <c r="B13" s="121" t="s">
        <v>336</v>
      </c>
      <c r="C13" s="122"/>
      <c r="D13" s="122" t="s">
        <v>337</v>
      </c>
      <c r="E13" s="122"/>
      <c r="F13" s="237" t="s">
        <v>338</v>
      </c>
    </row>
    <row r="14" spans="2:6" x14ac:dyDescent="0.2">
      <c r="B14" s="238" t="s">
        <v>339</v>
      </c>
      <c r="D14" s="4" t="s">
        <v>340</v>
      </c>
      <c r="F14" s="239">
        <v>594182.82999999996</v>
      </c>
    </row>
    <row r="15" spans="2:6" x14ac:dyDescent="0.2">
      <c r="B15" s="238" t="s">
        <v>341</v>
      </c>
      <c r="D15" s="4" t="s">
        <v>342</v>
      </c>
      <c r="F15" s="239">
        <v>313416.84000000003</v>
      </c>
    </row>
    <row r="16" spans="2:6" x14ac:dyDescent="0.2">
      <c r="B16" s="238" t="s">
        <v>343</v>
      </c>
      <c r="D16" s="4" t="s">
        <v>344</v>
      </c>
      <c r="F16" s="239">
        <v>5619.41</v>
      </c>
    </row>
    <row r="17" spans="1:7" x14ac:dyDescent="0.2">
      <c r="B17" s="238" t="s">
        <v>345</v>
      </c>
      <c r="D17" s="4" t="s">
        <v>346</v>
      </c>
      <c r="F17" s="239">
        <v>23218.799999999999</v>
      </c>
    </row>
    <row r="18" spans="1:7" x14ac:dyDescent="0.2">
      <c r="B18" s="238" t="s">
        <v>347</v>
      </c>
      <c r="D18" s="4" t="s">
        <v>348</v>
      </c>
      <c r="F18" s="239">
        <v>29979.7</v>
      </c>
    </row>
    <row r="19" spans="1:7" x14ac:dyDescent="0.2">
      <c r="B19" s="238" t="s">
        <v>349</v>
      </c>
      <c r="D19" s="4" t="s">
        <v>350</v>
      </c>
      <c r="F19" s="239">
        <v>20229.87</v>
      </c>
    </row>
    <row r="20" spans="1:7" ht="17.25" x14ac:dyDescent="0.35">
      <c r="B20" s="238" t="s">
        <v>351</v>
      </c>
      <c r="F20" s="240">
        <v>0</v>
      </c>
    </row>
    <row r="21" spans="1:7" ht="18" x14ac:dyDescent="0.4">
      <c r="B21" s="241" t="s">
        <v>286</v>
      </c>
      <c r="C21" s="133"/>
      <c r="D21" s="133"/>
      <c r="E21" s="133"/>
      <c r="F21" s="242">
        <f>SUM(F14:F20)</f>
        <v>986647.45</v>
      </c>
    </row>
    <row r="22" spans="1:7" x14ac:dyDescent="0.2">
      <c r="F22" s="243"/>
    </row>
    <row r="23" spans="1:7" x14ac:dyDescent="0.2">
      <c r="B23" s="244" t="s">
        <v>352</v>
      </c>
      <c r="C23" s="245"/>
      <c r="D23" s="245"/>
      <c r="E23" s="245"/>
      <c r="F23" s="246">
        <v>986647.45</v>
      </c>
    </row>
    <row r="24" spans="1:7" ht="17.25" x14ac:dyDescent="0.35">
      <c r="B24" s="247"/>
      <c r="F24" s="240"/>
    </row>
    <row r="25" spans="1:7" ht="18" x14ac:dyDescent="0.4">
      <c r="B25" s="248" t="s">
        <v>353</v>
      </c>
      <c r="C25" s="249"/>
      <c r="D25" s="249"/>
      <c r="E25" s="249"/>
      <c r="F25" s="250">
        <f>SUM(F23:F24)</f>
        <v>986647.45</v>
      </c>
    </row>
    <row r="26" spans="1:7" x14ac:dyDescent="0.2">
      <c r="A26" s="26"/>
      <c r="F26" s="243"/>
    </row>
    <row r="27" spans="1:7" x14ac:dyDescent="0.2">
      <c r="F27" s="29"/>
    </row>
    <row r="28" spans="1:7" x14ac:dyDescent="0.2">
      <c r="B28" s="251" t="s">
        <v>354</v>
      </c>
      <c r="C28" s="251"/>
      <c r="D28" s="251"/>
      <c r="E28" s="251"/>
      <c r="F28" s="252">
        <f>+F21/12</f>
        <v>82220.620833333334</v>
      </c>
    </row>
    <row r="29" spans="1:7" x14ac:dyDescent="0.2">
      <c r="F29" s="29"/>
    </row>
    <row r="30" spans="1:7" ht="15.75" customHeight="1" x14ac:dyDescent="0.2">
      <c r="B30" s="4" t="s">
        <v>355</v>
      </c>
      <c r="D30" s="4">
        <v>2</v>
      </c>
      <c r="F30" s="29">
        <f>+F28*D30</f>
        <v>164441.24166666667</v>
      </c>
      <c r="G30" s="21"/>
    </row>
    <row r="31" spans="1:7" ht="15.75" customHeight="1" x14ac:dyDescent="0.2">
      <c r="F31" s="29"/>
    </row>
    <row r="32" spans="1:7" ht="15.75" customHeight="1" x14ac:dyDescent="0.2">
      <c r="B32" s="4" t="s">
        <v>356</v>
      </c>
      <c r="D32" s="4">
        <v>3</v>
      </c>
      <c r="F32" s="29">
        <f>+D32*F28</f>
        <v>246661.86249999999</v>
      </c>
      <c r="G32" s="21"/>
    </row>
    <row r="33" spans="1:7" ht="15.75" customHeight="1" x14ac:dyDescent="0.2">
      <c r="F33" s="29"/>
    </row>
    <row r="34" spans="1:7" ht="15.75" customHeight="1" x14ac:dyDescent="0.2">
      <c r="B34" s="4" t="s">
        <v>357</v>
      </c>
      <c r="D34" s="4">
        <v>7</v>
      </c>
      <c r="F34" s="29">
        <f>+D34*F28</f>
        <v>575544.34583333333</v>
      </c>
      <c r="G34" s="21"/>
    </row>
    <row r="35" spans="1:7" x14ac:dyDescent="0.2">
      <c r="F35" s="29"/>
    </row>
    <row r="36" spans="1:7" x14ac:dyDescent="0.2">
      <c r="A36" s="253"/>
      <c r="B36" s="253" t="s">
        <v>358</v>
      </c>
      <c r="C36" s="253"/>
      <c r="D36" s="253"/>
      <c r="E36" s="253"/>
      <c r="F36" s="254">
        <v>82220.62</v>
      </c>
      <c r="G36" s="21"/>
    </row>
    <row r="37" spans="1:7" x14ac:dyDescent="0.2">
      <c r="B37" s="4" t="s">
        <v>359</v>
      </c>
      <c r="C37" s="30"/>
      <c r="D37" s="30"/>
      <c r="E37" s="30"/>
      <c r="F37" s="254">
        <v>82220.62</v>
      </c>
    </row>
    <row r="38" spans="1:7" x14ac:dyDescent="0.2">
      <c r="B38" s="4" t="s">
        <v>360</v>
      </c>
      <c r="F38" s="29">
        <v>82220.62</v>
      </c>
    </row>
    <row r="39" spans="1:7" x14ac:dyDescent="0.2">
      <c r="B39" s="4" t="s">
        <v>361</v>
      </c>
      <c r="F39" s="29">
        <v>82220.62</v>
      </c>
    </row>
    <row r="40" spans="1:7" x14ac:dyDescent="0.2">
      <c r="B40" s="4" t="s">
        <v>798</v>
      </c>
      <c r="C40" s="30"/>
      <c r="F40" s="29">
        <v>82220.62</v>
      </c>
    </row>
    <row r="41" spans="1:7" x14ac:dyDescent="0.2">
      <c r="B41" s="4" t="s">
        <v>362</v>
      </c>
      <c r="F41" s="29">
        <v>82220.62</v>
      </c>
    </row>
    <row r="42" spans="1:7" x14ac:dyDescent="0.2">
      <c r="B42" s="24" t="s">
        <v>363</v>
      </c>
      <c r="F42" s="29">
        <v>82220.62</v>
      </c>
    </row>
    <row r="43" spans="1:7" x14ac:dyDescent="0.2">
      <c r="B43" s="4" t="s">
        <v>364</v>
      </c>
      <c r="F43" s="29">
        <v>82220.62</v>
      </c>
    </row>
    <row r="44" spans="1:7" x14ac:dyDescent="0.2">
      <c r="B44" s="4" t="s">
        <v>365</v>
      </c>
      <c r="F44" s="29">
        <v>82220.62</v>
      </c>
    </row>
    <row r="45" spans="1:7" x14ac:dyDescent="0.2">
      <c r="B45" s="4" t="s">
        <v>366</v>
      </c>
      <c r="F45" s="29">
        <v>82220.62</v>
      </c>
    </row>
    <row r="46" spans="1:7" ht="17.25" x14ac:dyDescent="0.35">
      <c r="B46" s="30" t="s">
        <v>367</v>
      </c>
      <c r="F46" s="275">
        <v>82220.62</v>
      </c>
    </row>
    <row r="47" spans="1:7" hidden="1" x14ac:dyDescent="0.2">
      <c r="B47" s="4" t="s">
        <v>368</v>
      </c>
      <c r="F47" s="44"/>
    </row>
    <row r="48" spans="1:7" hidden="1" x14ac:dyDescent="0.2">
      <c r="B48" s="253" t="s">
        <v>369</v>
      </c>
      <c r="F48" s="29"/>
    </row>
    <row r="49" spans="2:7" ht="15.75" x14ac:dyDescent="0.25">
      <c r="B49" s="4" t="s">
        <v>370</v>
      </c>
      <c r="F49" s="255">
        <f>SUM(F36:F48)</f>
        <v>904426.82</v>
      </c>
    </row>
    <row r="50" spans="2:7" ht="15.75" x14ac:dyDescent="0.25">
      <c r="F50" s="160"/>
    </row>
    <row r="51" spans="2:7" x14ac:dyDescent="0.2">
      <c r="F51" s="243"/>
    </row>
    <row r="52" spans="2:7" ht="22.5" customHeight="1" x14ac:dyDescent="0.4">
      <c r="B52" s="209" t="s">
        <v>371</v>
      </c>
      <c r="C52" s="209"/>
      <c r="D52" s="209"/>
      <c r="E52" s="209"/>
      <c r="F52" s="256">
        <f>+F25-F49</f>
        <v>82220.63</v>
      </c>
      <c r="G52" s="21"/>
    </row>
    <row r="54" spans="2:7" x14ac:dyDescent="0.2">
      <c r="F54" s="21"/>
    </row>
    <row r="55" spans="2:7" x14ac:dyDescent="0.2">
      <c r="F55" s="21"/>
    </row>
    <row r="56" spans="2:7" x14ac:dyDescent="0.2">
      <c r="F56" s="21"/>
    </row>
    <row r="57" spans="2:7" x14ac:dyDescent="0.2">
      <c r="F57" s="21"/>
    </row>
    <row r="58" spans="2:7" x14ac:dyDescent="0.2">
      <c r="F58" s="21"/>
    </row>
    <row r="59" spans="2:7" x14ac:dyDescent="0.2">
      <c r="F59" s="21"/>
    </row>
    <row r="60" spans="2:7" x14ac:dyDescent="0.2">
      <c r="F60" s="21"/>
    </row>
    <row r="61" spans="2:7" x14ac:dyDescent="0.2">
      <c r="F61" s="21"/>
    </row>
  </sheetData>
  <mergeCells count="7">
    <mergeCell ref="B4:F4"/>
    <mergeCell ref="B5:F5"/>
    <mergeCell ref="B7:F7"/>
    <mergeCell ref="B10:F10"/>
    <mergeCell ref="B11:F11"/>
    <mergeCell ref="B6:F6"/>
    <mergeCell ref="B9:F9"/>
  </mergeCells>
  <phoneticPr fontId="75" type="noConversion"/>
  <pageMargins left="0.11811023622047245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G56"/>
  <sheetViews>
    <sheetView view="pageBreakPreview" topLeftCell="A24" zoomScaleNormal="100" zoomScaleSheetLayoutView="100" workbookViewId="0">
      <selection activeCell="F29" sqref="F29:F34"/>
    </sheetView>
  </sheetViews>
  <sheetFormatPr baseColWidth="10" defaultColWidth="11.42578125" defaultRowHeight="24.75" customHeight="1" x14ac:dyDescent="0.2"/>
  <cols>
    <col min="1" max="1" width="4.7109375" style="278" customWidth="1"/>
    <col min="2" max="2" width="33" style="278" bestFit="1" customWidth="1"/>
    <col min="3" max="3" width="16.85546875" style="278" customWidth="1"/>
    <col min="4" max="4" width="17" style="278" customWidth="1"/>
    <col min="5" max="5" width="12" style="278" bestFit="1" customWidth="1"/>
    <col min="6" max="6" width="18.85546875" style="278" customWidth="1"/>
    <col min="7" max="7" width="16" style="4" bestFit="1" customWidth="1"/>
    <col min="8" max="8" width="14.140625" style="4" bestFit="1" customWidth="1"/>
    <col min="9" max="16384" width="11.42578125" style="4"/>
  </cols>
  <sheetData>
    <row r="1" spans="1:6" ht="15.95" customHeight="1" x14ac:dyDescent="0.2">
      <c r="A1" s="4"/>
      <c r="B1" s="4"/>
      <c r="C1" s="4"/>
      <c r="D1" s="4"/>
      <c r="E1" s="4"/>
      <c r="F1" s="4"/>
    </row>
    <row r="2" spans="1:6" ht="15.95" customHeight="1" x14ac:dyDescent="0.2">
      <c r="A2" s="4"/>
      <c r="B2" s="4"/>
      <c r="C2" s="4"/>
      <c r="D2" s="4"/>
      <c r="E2" s="4"/>
      <c r="F2" s="4"/>
    </row>
    <row r="3" spans="1:6" ht="15.95" customHeight="1" x14ac:dyDescent="0.25">
      <c r="A3" s="4"/>
      <c r="B3" s="632" t="s">
        <v>321</v>
      </c>
      <c r="C3" s="632"/>
      <c r="D3" s="632"/>
      <c r="E3" s="632"/>
      <c r="F3" s="632"/>
    </row>
    <row r="4" spans="1:6" ht="15.95" customHeight="1" x14ac:dyDescent="0.25">
      <c r="A4" s="4"/>
      <c r="B4" s="632" t="s">
        <v>223</v>
      </c>
      <c r="C4" s="632"/>
      <c r="D4" s="632"/>
      <c r="E4" s="632"/>
      <c r="F4" s="632"/>
    </row>
    <row r="5" spans="1:6" ht="15.95" customHeight="1" x14ac:dyDescent="0.25">
      <c r="A5" s="4"/>
      <c r="B5" s="632" t="s">
        <v>372</v>
      </c>
      <c r="C5" s="632"/>
      <c r="D5" s="632"/>
      <c r="E5" s="632"/>
      <c r="F5" s="632"/>
    </row>
    <row r="6" spans="1:6" ht="15.95" customHeight="1" x14ac:dyDescent="0.25">
      <c r="A6" s="4"/>
      <c r="B6" s="662">
        <v>45930</v>
      </c>
      <c r="C6" s="662"/>
      <c r="D6" s="662"/>
      <c r="E6" s="662"/>
      <c r="F6" s="662"/>
    </row>
    <row r="7" spans="1:6" ht="15.95" customHeight="1" x14ac:dyDescent="0.2">
      <c r="A7" s="4"/>
      <c r="B7" s="4"/>
      <c r="C7" s="4"/>
      <c r="D7" s="4"/>
      <c r="E7" s="4"/>
      <c r="F7" s="4"/>
    </row>
    <row r="8" spans="1:6" ht="21.75" customHeight="1" x14ac:dyDescent="0.2">
      <c r="A8" s="4"/>
      <c r="B8" s="663" t="s">
        <v>725</v>
      </c>
      <c r="C8" s="663"/>
      <c r="D8" s="663"/>
      <c r="E8" s="663"/>
      <c r="F8" s="663"/>
    </row>
    <row r="9" spans="1:6" ht="21.75" customHeight="1" x14ac:dyDescent="0.25">
      <c r="A9" s="4"/>
      <c r="B9" s="625" t="s">
        <v>741</v>
      </c>
      <c r="C9" s="625"/>
      <c r="D9" s="625"/>
      <c r="E9" s="625"/>
      <c r="F9" s="625"/>
    </row>
    <row r="10" spans="1:6" ht="21.75" customHeight="1" x14ac:dyDescent="0.2">
      <c r="A10" s="4"/>
      <c r="B10" s="625" t="s">
        <v>373</v>
      </c>
      <c r="C10" s="625"/>
      <c r="D10" s="625"/>
      <c r="E10" s="625"/>
      <c r="F10" s="625"/>
    </row>
    <row r="11" spans="1:6" ht="15.95" customHeight="1" thickBot="1" x14ac:dyDescent="0.25">
      <c r="A11" s="4"/>
      <c r="B11" s="4"/>
      <c r="C11" s="4"/>
      <c r="D11" s="4"/>
      <c r="E11" s="4"/>
      <c r="F11" s="4"/>
    </row>
    <row r="12" spans="1:6" ht="23.25" customHeight="1" thickBot="1" x14ac:dyDescent="0.3">
      <c r="A12" s="4"/>
      <c r="B12" s="257" t="s">
        <v>293</v>
      </c>
      <c r="C12" s="258"/>
      <c r="D12" s="258" t="s">
        <v>374</v>
      </c>
      <c r="E12" s="258"/>
      <c r="F12" s="259" t="s">
        <v>338</v>
      </c>
    </row>
    <row r="13" spans="1:6" ht="22.5" customHeight="1" x14ac:dyDescent="0.35">
      <c r="A13" s="4"/>
      <c r="B13" s="260" t="s">
        <v>375</v>
      </c>
      <c r="C13" s="261"/>
      <c r="D13" s="262" t="s">
        <v>376</v>
      </c>
      <c r="E13" s="261"/>
      <c r="F13" s="263">
        <v>1746748</v>
      </c>
    </row>
    <row r="14" spans="1:6" ht="23.25" customHeight="1" thickBot="1" x14ac:dyDescent="0.45">
      <c r="A14" s="4"/>
      <c r="B14" s="264" t="s">
        <v>286</v>
      </c>
      <c r="C14" s="265"/>
      <c r="D14" s="265"/>
      <c r="E14" s="265"/>
      <c r="F14" s="266">
        <f>SUM(F13:F13)</f>
        <v>1746748</v>
      </c>
    </row>
    <row r="15" spans="1:6" ht="15.95" customHeight="1" thickBot="1" x14ac:dyDescent="0.25">
      <c r="A15" s="4"/>
      <c r="B15" s="4"/>
      <c r="C15" s="4"/>
      <c r="D15" s="4"/>
      <c r="E15" s="4"/>
      <c r="F15" s="4"/>
    </row>
    <row r="16" spans="1:6" ht="24" customHeight="1" thickBot="1" x14ac:dyDescent="0.3">
      <c r="A16" s="4"/>
      <c r="B16" s="257" t="s">
        <v>291</v>
      </c>
      <c r="C16" s="258" t="s">
        <v>377</v>
      </c>
      <c r="D16" s="258"/>
      <c r="E16" s="258" t="s">
        <v>378</v>
      </c>
      <c r="F16" s="259" t="s">
        <v>292</v>
      </c>
    </row>
    <row r="17" spans="1:6" ht="46.5" customHeight="1" x14ac:dyDescent="0.25">
      <c r="A17" s="4"/>
      <c r="B17" s="267" t="s">
        <v>379</v>
      </c>
      <c r="C17" s="447" t="s">
        <v>711</v>
      </c>
      <c r="D17" s="261"/>
      <c r="E17" s="268">
        <v>45758</v>
      </c>
      <c r="F17" s="269">
        <f>+F13</f>
        <v>1746748</v>
      </c>
    </row>
    <row r="18" spans="1:6" ht="18.75" customHeight="1" x14ac:dyDescent="0.35">
      <c r="A18" s="4"/>
      <c r="B18" s="270"/>
      <c r="C18" s="271"/>
      <c r="D18" s="271"/>
      <c r="E18" s="281"/>
      <c r="F18" s="273"/>
    </row>
    <row r="19" spans="1:6" ht="15.95" customHeight="1" x14ac:dyDescent="0.2">
      <c r="A19" s="4"/>
      <c r="B19" s="4"/>
      <c r="C19" s="4"/>
      <c r="D19" s="4"/>
      <c r="E19" s="4"/>
      <c r="F19" s="4"/>
    </row>
    <row r="20" spans="1:6" ht="15.95" customHeight="1" x14ac:dyDescent="0.2">
      <c r="A20" s="4"/>
      <c r="B20" s="251" t="s">
        <v>354</v>
      </c>
      <c r="C20" s="251"/>
      <c r="D20" s="251"/>
      <c r="E20" s="251"/>
      <c r="F20" s="252">
        <f>+F17/12</f>
        <v>145562.33333333334</v>
      </c>
    </row>
    <row r="21" spans="1:6" ht="15.95" customHeight="1" x14ac:dyDescent="0.2">
      <c r="A21" s="4"/>
      <c r="B21" s="4"/>
      <c r="C21" s="4"/>
      <c r="D21" s="4"/>
      <c r="E21" s="4"/>
      <c r="F21" s="29"/>
    </row>
    <row r="22" spans="1:6" ht="15.95" customHeight="1" x14ac:dyDescent="0.2">
      <c r="A22" s="4"/>
      <c r="B22" s="5" t="s">
        <v>712</v>
      </c>
      <c r="C22" s="5" t="s">
        <v>717</v>
      </c>
      <c r="D22" s="29">
        <f>+F20</f>
        <v>145562.33333333334</v>
      </c>
      <c r="E22" s="57" t="s">
        <v>714</v>
      </c>
      <c r="F22" s="29">
        <f>+D22*9</f>
        <v>1310061</v>
      </c>
    </row>
    <row r="23" spans="1:6" ht="15.95" customHeight="1" x14ac:dyDescent="0.2">
      <c r="A23" s="4"/>
      <c r="B23" s="5"/>
      <c r="C23" s="5"/>
      <c r="D23" s="29"/>
      <c r="E23" s="5"/>
      <c r="F23" s="29"/>
    </row>
    <row r="24" spans="1:6" ht="15.95" customHeight="1" x14ac:dyDescent="0.2">
      <c r="A24" s="4"/>
      <c r="B24" s="5" t="s">
        <v>713</v>
      </c>
      <c r="C24" s="5" t="s">
        <v>716</v>
      </c>
      <c r="D24" s="29">
        <f>+F20</f>
        <v>145562.33333333334</v>
      </c>
      <c r="E24" s="57" t="s">
        <v>715</v>
      </c>
      <c r="F24" s="29">
        <f>+F17-F22</f>
        <v>436687</v>
      </c>
    </row>
    <row r="25" spans="1:6" ht="15.95" customHeight="1" x14ac:dyDescent="0.2">
      <c r="A25" s="4"/>
      <c r="B25" s="4"/>
      <c r="C25" s="5"/>
      <c r="D25" s="29"/>
      <c r="E25" s="4"/>
      <c r="F25" s="4"/>
    </row>
    <row r="26" spans="1:6" ht="15.95" customHeight="1" x14ac:dyDescent="0.2">
      <c r="A26" s="4"/>
      <c r="B26" s="4"/>
      <c r="C26" s="5"/>
      <c r="D26" s="29"/>
      <c r="E26" s="4"/>
      <c r="F26" s="4"/>
    </row>
    <row r="27" spans="1:6" ht="15.95" customHeight="1" x14ac:dyDescent="0.2">
      <c r="A27" s="4"/>
      <c r="B27" s="4"/>
      <c r="C27" s="5"/>
      <c r="D27" s="29"/>
      <c r="E27" s="4"/>
      <c r="F27" s="4"/>
    </row>
    <row r="28" spans="1:6" ht="18" customHeight="1" x14ac:dyDescent="0.2">
      <c r="A28" s="4"/>
      <c r="B28" s="4"/>
      <c r="C28" s="5"/>
      <c r="D28" s="24"/>
      <c r="E28" s="24"/>
      <c r="F28" s="29"/>
    </row>
    <row r="29" spans="1:6" ht="18" customHeight="1" x14ac:dyDescent="0.2">
      <c r="A29" s="4"/>
      <c r="B29" s="4" t="s">
        <v>661</v>
      </c>
      <c r="C29" s="24"/>
      <c r="D29" s="24"/>
      <c r="E29" s="24"/>
      <c r="F29" s="29">
        <f>+F20</f>
        <v>145562.33333333334</v>
      </c>
    </row>
    <row r="30" spans="1:6" ht="18" customHeight="1" x14ac:dyDescent="0.2">
      <c r="A30" s="4"/>
      <c r="B30" s="4" t="s">
        <v>662</v>
      </c>
      <c r="C30" s="30"/>
      <c r="D30" s="30"/>
      <c r="E30" s="30"/>
      <c r="F30" s="29">
        <f>+F29</f>
        <v>145562.33333333334</v>
      </c>
    </row>
    <row r="31" spans="1:6" ht="18" customHeight="1" x14ac:dyDescent="0.2">
      <c r="A31" s="4"/>
      <c r="B31" s="4" t="s">
        <v>663</v>
      </c>
      <c r="C31" s="30"/>
      <c r="D31" s="30"/>
      <c r="E31" s="30"/>
      <c r="F31" s="29">
        <f>+F30</f>
        <v>145562.33333333334</v>
      </c>
    </row>
    <row r="32" spans="1:6" ht="18" customHeight="1" x14ac:dyDescent="0.2">
      <c r="A32" s="4"/>
      <c r="B32" s="4" t="s">
        <v>664</v>
      </c>
      <c r="C32" s="30"/>
      <c r="D32" s="30"/>
      <c r="E32" s="30"/>
      <c r="F32" s="29">
        <f>+F31</f>
        <v>145562.33333333334</v>
      </c>
    </row>
    <row r="33" spans="1:7" ht="18" customHeight="1" x14ac:dyDescent="0.2">
      <c r="A33" s="4"/>
      <c r="B33" s="4" t="s">
        <v>521</v>
      </c>
      <c r="C33" s="24"/>
      <c r="D33" s="24"/>
      <c r="E33" s="24"/>
      <c r="F33" s="29">
        <f>+F32</f>
        <v>145562.33333333334</v>
      </c>
    </row>
    <row r="34" spans="1:7" ht="18" customHeight="1" x14ac:dyDescent="0.35">
      <c r="A34" s="4"/>
      <c r="B34" s="30" t="s">
        <v>718</v>
      </c>
      <c r="C34" s="24"/>
      <c r="D34" s="24"/>
      <c r="E34" s="24"/>
      <c r="F34" s="275">
        <v>145562.33333333334</v>
      </c>
    </row>
    <row r="35" spans="1:7" ht="15" hidden="1" x14ac:dyDescent="0.2">
      <c r="A35" s="4"/>
      <c r="B35" s="4" t="s">
        <v>719</v>
      </c>
      <c r="C35" s="24"/>
      <c r="D35" s="24"/>
      <c r="E35" s="24"/>
      <c r="F35" s="29"/>
    </row>
    <row r="36" spans="1:7" ht="15" hidden="1" x14ac:dyDescent="0.2">
      <c r="A36" s="4"/>
      <c r="B36" s="253" t="s">
        <v>720</v>
      </c>
      <c r="C36" s="24"/>
      <c r="D36" s="24"/>
      <c r="E36" s="24"/>
      <c r="F36" s="274"/>
    </row>
    <row r="37" spans="1:7" ht="15" hidden="1" x14ac:dyDescent="0.2">
      <c r="A37" s="4"/>
      <c r="B37" s="4" t="s">
        <v>721</v>
      </c>
      <c r="C37" s="30"/>
      <c r="D37" s="30"/>
      <c r="E37" s="30"/>
      <c r="F37" s="274"/>
    </row>
    <row r="38" spans="1:7" ht="15" hidden="1" x14ac:dyDescent="0.2">
      <c r="A38" s="4"/>
      <c r="B38" s="4" t="s">
        <v>722</v>
      </c>
      <c r="C38" s="4"/>
      <c r="D38" s="4"/>
      <c r="E38" s="4"/>
      <c r="F38" s="274"/>
    </row>
    <row r="39" spans="1:7" ht="15" hidden="1" x14ac:dyDescent="0.2">
      <c r="A39" s="4"/>
      <c r="B39" s="4" t="s">
        <v>723</v>
      </c>
      <c r="C39" s="24"/>
      <c r="D39" s="24"/>
      <c r="E39" s="24"/>
      <c r="F39" s="29"/>
    </row>
    <row r="40" spans="1:7" ht="17.25" hidden="1" x14ac:dyDescent="0.35">
      <c r="A40" s="4"/>
      <c r="B40" s="24" t="s">
        <v>724</v>
      </c>
      <c r="C40" s="24"/>
      <c r="D40" s="24"/>
      <c r="E40" s="24"/>
      <c r="F40" s="275"/>
    </row>
    <row r="41" spans="1:7" ht="18" customHeight="1" x14ac:dyDescent="0.2">
      <c r="A41" s="4"/>
      <c r="B41" s="4"/>
      <c r="C41" s="24"/>
      <c r="D41" s="24"/>
      <c r="E41" s="24"/>
      <c r="F41" s="4"/>
      <c r="G41" s="21"/>
    </row>
    <row r="42" spans="1:7" ht="20.25" x14ac:dyDescent="0.55000000000000004">
      <c r="A42" s="4"/>
      <c r="B42" s="424" t="s">
        <v>108</v>
      </c>
      <c r="C42" s="24"/>
      <c r="D42" s="24"/>
      <c r="E42" s="24"/>
      <c r="F42" s="276">
        <f>SUM(F28:F39)+0</f>
        <v>873374.00000000012</v>
      </c>
    </row>
    <row r="43" spans="1:7" ht="25.5" customHeight="1" x14ac:dyDescent="0.4">
      <c r="A43" s="4"/>
      <c r="B43" s="24" t="s">
        <v>371</v>
      </c>
      <c r="C43" s="209"/>
      <c r="D43" s="209"/>
      <c r="E43" s="209"/>
      <c r="F43" s="277">
        <f>+F14-F42</f>
        <v>873373.99999999988</v>
      </c>
      <c r="G43" s="282"/>
    </row>
    <row r="44" spans="1:7" ht="15.95" customHeight="1" x14ac:dyDescent="0.25">
      <c r="A44" s="4"/>
      <c r="B44" s="209"/>
      <c r="C44" s="24"/>
      <c r="D44" s="24"/>
      <c r="E44" s="24"/>
      <c r="F44" s="274"/>
    </row>
    <row r="45" spans="1:7" ht="24.75" customHeight="1" x14ac:dyDescent="0.2">
      <c r="A45" s="4"/>
      <c r="B45" s="24"/>
      <c r="C45" s="24"/>
      <c r="D45" s="24"/>
      <c r="E45" s="24"/>
      <c r="F45" s="24"/>
      <c r="G45" s="24"/>
    </row>
    <row r="46" spans="1:7" ht="24.75" customHeight="1" x14ac:dyDescent="0.2">
      <c r="A46" s="4"/>
      <c r="B46" s="24"/>
      <c r="C46" s="24"/>
      <c r="D46" s="24"/>
      <c r="E46" s="24"/>
      <c r="F46" s="24"/>
      <c r="G46" s="24"/>
    </row>
    <row r="47" spans="1:7" ht="24.75" customHeight="1" x14ac:dyDescent="0.2">
      <c r="B47" s="24"/>
      <c r="C47" s="24"/>
      <c r="D47" s="24"/>
      <c r="E47" s="24"/>
      <c r="F47" s="24"/>
      <c r="G47" s="24"/>
    </row>
    <row r="48" spans="1:7" ht="24.75" customHeight="1" x14ac:dyDescent="0.2">
      <c r="B48" s="24"/>
      <c r="C48" s="24"/>
      <c r="D48" s="24"/>
      <c r="E48" s="24"/>
      <c r="F48" s="24"/>
      <c r="G48" s="24"/>
    </row>
    <row r="49" spans="2:7" ht="24.75" customHeight="1" x14ac:dyDescent="0.2">
      <c r="B49" s="24"/>
      <c r="C49" s="24"/>
      <c r="D49" s="24"/>
      <c r="E49" s="24"/>
      <c r="F49" s="24"/>
      <c r="G49" s="24"/>
    </row>
    <row r="50" spans="2:7" ht="24.75" customHeight="1" x14ac:dyDescent="0.2">
      <c r="B50" s="24"/>
      <c r="C50" s="24"/>
      <c r="D50" s="24"/>
      <c r="E50" s="24"/>
      <c r="F50" s="24"/>
      <c r="G50" s="24"/>
    </row>
    <row r="51" spans="2:7" ht="24.75" customHeight="1" x14ac:dyDescent="0.2">
      <c r="B51" s="24"/>
      <c r="C51" s="24"/>
      <c r="D51" s="24"/>
      <c r="E51" s="24"/>
      <c r="F51" s="24"/>
      <c r="G51" s="24"/>
    </row>
    <row r="52" spans="2:7" ht="24.75" customHeight="1" x14ac:dyDescent="0.2">
      <c r="B52" s="24"/>
      <c r="C52" s="24"/>
      <c r="D52" s="24"/>
      <c r="E52" s="24"/>
      <c r="F52" s="24"/>
      <c r="G52" s="24"/>
    </row>
    <row r="53" spans="2:7" ht="24.75" customHeight="1" x14ac:dyDescent="0.2">
      <c r="B53" s="24"/>
      <c r="C53" s="24"/>
      <c r="D53" s="24"/>
      <c r="E53" s="24"/>
      <c r="F53" s="24"/>
      <c r="G53" s="24"/>
    </row>
    <row r="55" spans="2:7" ht="24.75" customHeight="1" x14ac:dyDescent="0.2">
      <c r="D55" s="279"/>
    </row>
    <row r="56" spans="2:7" ht="24.75" customHeight="1" x14ac:dyDescent="0.2">
      <c r="D56" s="279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honeticPr fontId="75" type="noConversion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6226-0DC0-418D-9064-4450A4D7836E}">
  <sheetPr codeName="Hoja18">
    <pageSetUpPr fitToPage="1"/>
  </sheetPr>
  <dimension ref="A1:F54"/>
  <sheetViews>
    <sheetView topLeftCell="A21" workbookViewId="0">
      <selection activeCell="F27" sqref="F27:F32"/>
    </sheetView>
  </sheetViews>
  <sheetFormatPr baseColWidth="10" defaultColWidth="11.42578125" defaultRowHeight="24.75" customHeight="1" x14ac:dyDescent="0.2"/>
  <cols>
    <col min="1" max="1" width="4.7109375" style="278" customWidth="1"/>
    <col min="2" max="2" width="35" style="278" customWidth="1"/>
    <col min="3" max="3" width="13.5703125" style="278" customWidth="1"/>
    <col min="4" max="4" width="17" style="278" customWidth="1"/>
    <col min="5" max="5" width="12" style="278" bestFit="1" customWidth="1"/>
    <col min="6" max="6" width="18.85546875" style="278" customWidth="1"/>
    <col min="7" max="16384" width="11.42578125" style="4"/>
  </cols>
  <sheetData>
    <row r="1" spans="1:6" ht="15.95" customHeight="1" x14ac:dyDescent="0.2">
      <c r="A1" s="4"/>
      <c r="B1" s="4"/>
      <c r="C1" s="4"/>
      <c r="D1" s="4"/>
      <c r="E1" s="4"/>
      <c r="F1" s="4"/>
    </row>
    <row r="2" spans="1:6" ht="15.95" customHeight="1" x14ac:dyDescent="0.2">
      <c r="A2" s="4"/>
      <c r="B2" s="4"/>
      <c r="C2" s="4"/>
      <c r="D2" s="4"/>
      <c r="E2" s="4"/>
      <c r="F2" s="4"/>
    </row>
    <row r="3" spans="1:6" ht="15.95" customHeight="1" x14ac:dyDescent="0.25">
      <c r="A3" s="4"/>
      <c r="B3" s="632" t="s">
        <v>321</v>
      </c>
      <c r="C3" s="632"/>
      <c r="D3" s="632"/>
      <c r="E3" s="632"/>
      <c r="F3" s="632"/>
    </row>
    <row r="4" spans="1:6" ht="15.95" customHeight="1" x14ac:dyDescent="0.25">
      <c r="A4" s="4"/>
      <c r="B4" s="632" t="s">
        <v>223</v>
      </c>
      <c r="C4" s="632"/>
      <c r="D4" s="632"/>
      <c r="E4" s="632"/>
      <c r="F4" s="632"/>
    </row>
    <row r="5" spans="1:6" ht="15.95" customHeight="1" x14ac:dyDescent="0.25">
      <c r="A5" s="4"/>
      <c r="B5" s="632" t="s">
        <v>372</v>
      </c>
      <c r="C5" s="632"/>
      <c r="D5" s="632"/>
      <c r="E5" s="632"/>
      <c r="F5" s="632"/>
    </row>
    <row r="6" spans="1:6" ht="15.95" customHeight="1" x14ac:dyDescent="0.25">
      <c r="A6" s="4"/>
      <c r="B6" s="662">
        <v>45930</v>
      </c>
      <c r="C6" s="662"/>
      <c r="D6" s="662"/>
      <c r="E6" s="662"/>
      <c r="F6" s="662"/>
    </row>
    <row r="7" spans="1:6" ht="15.95" customHeight="1" x14ac:dyDescent="0.2">
      <c r="A7" s="4"/>
      <c r="B7" s="4"/>
      <c r="C7" s="4"/>
      <c r="D7" s="4"/>
      <c r="E7" s="4"/>
      <c r="F7" s="4"/>
    </row>
    <row r="8" spans="1:6" ht="21.75" customHeight="1" x14ac:dyDescent="0.2">
      <c r="A8" s="4"/>
      <c r="B8" s="663" t="s">
        <v>725</v>
      </c>
      <c r="C8" s="663"/>
      <c r="D8" s="663"/>
      <c r="E8" s="663"/>
      <c r="F8" s="663"/>
    </row>
    <row r="9" spans="1:6" ht="21.75" customHeight="1" x14ac:dyDescent="0.25">
      <c r="A9" s="4"/>
      <c r="B9" s="625" t="s">
        <v>740</v>
      </c>
      <c r="C9" s="625"/>
      <c r="D9" s="625"/>
      <c r="E9" s="625"/>
      <c r="F9" s="625"/>
    </row>
    <row r="10" spans="1:6" ht="21.75" customHeight="1" x14ac:dyDescent="0.2">
      <c r="A10" s="4"/>
      <c r="B10" s="625" t="s">
        <v>747</v>
      </c>
      <c r="C10" s="625"/>
      <c r="D10" s="625"/>
      <c r="E10" s="625"/>
      <c r="F10" s="625"/>
    </row>
    <row r="11" spans="1:6" ht="15.95" customHeight="1" thickBot="1" x14ac:dyDescent="0.25">
      <c r="A11" s="4"/>
      <c r="B11" s="4"/>
      <c r="C11" s="4"/>
      <c r="D11" s="4"/>
      <c r="E11" s="4"/>
      <c r="F11" s="4"/>
    </row>
    <row r="12" spans="1:6" ht="23.25" customHeight="1" thickBot="1" x14ac:dyDescent="0.3">
      <c r="A12" s="4"/>
      <c r="B12" s="257" t="s">
        <v>293</v>
      </c>
      <c r="C12" s="258"/>
      <c r="D12" s="258" t="s">
        <v>374</v>
      </c>
      <c r="E12" s="258"/>
      <c r="F12" s="259" t="s">
        <v>338</v>
      </c>
    </row>
    <row r="13" spans="1:6" ht="22.5" customHeight="1" x14ac:dyDescent="0.35">
      <c r="A13" s="4"/>
      <c r="B13" s="260" t="s">
        <v>726</v>
      </c>
      <c r="C13" s="261"/>
      <c r="D13" s="262" t="s">
        <v>376</v>
      </c>
      <c r="E13" s="261"/>
      <c r="F13" s="263">
        <v>436000</v>
      </c>
    </row>
    <row r="14" spans="1:6" ht="23.25" customHeight="1" thickBot="1" x14ac:dyDescent="0.45">
      <c r="A14" s="4"/>
      <c r="B14" s="264" t="s">
        <v>286</v>
      </c>
      <c r="C14" s="265"/>
      <c r="D14" s="265"/>
      <c r="E14" s="265"/>
      <c r="F14" s="266">
        <f>SUM(F13:F13)</f>
        <v>436000</v>
      </c>
    </row>
    <row r="15" spans="1:6" ht="15.95" customHeight="1" thickBot="1" x14ac:dyDescent="0.25">
      <c r="A15" s="4"/>
      <c r="B15" s="4"/>
      <c r="C15" s="4"/>
      <c r="D15" s="4"/>
      <c r="E15" s="4"/>
      <c r="F15" s="4"/>
    </row>
    <row r="16" spans="1:6" ht="24" customHeight="1" thickBot="1" x14ac:dyDescent="0.3">
      <c r="A16" s="4"/>
      <c r="B16" s="257" t="s">
        <v>291</v>
      </c>
      <c r="C16" s="258" t="s">
        <v>377</v>
      </c>
      <c r="D16" s="258"/>
      <c r="E16" s="258" t="s">
        <v>378</v>
      </c>
      <c r="F16" s="259" t="s">
        <v>292</v>
      </c>
    </row>
    <row r="17" spans="1:6" ht="18" customHeight="1" x14ac:dyDescent="0.25">
      <c r="A17" s="4"/>
      <c r="B17" s="267" t="s">
        <v>727</v>
      </c>
      <c r="C17" s="280" t="s">
        <v>746</v>
      </c>
      <c r="D17" s="261"/>
      <c r="E17" s="268">
        <v>45771</v>
      </c>
      <c r="F17" s="269">
        <f>+F13</f>
        <v>436000</v>
      </c>
    </row>
    <row r="18" spans="1:6" ht="18.75" customHeight="1" x14ac:dyDescent="0.35">
      <c r="A18" s="4"/>
      <c r="B18" s="270"/>
      <c r="C18" s="271"/>
      <c r="D18" s="271"/>
      <c r="E18" s="272"/>
      <c r="F18" s="273"/>
    </row>
    <row r="19" spans="1:6" ht="15.95" customHeight="1" x14ac:dyDescent="0.2">
      <c r="A19" s="4"/>
      <c r="B19" s="4"/>
      <c r="C19" s="4"/>
      <c r="D19" s="4"/>
      <c r="E19" s="4"/>
      <c r="F19" s="4"/>
    </row>
    <row r="20" spans="1:6" ht="15.95" customHeight="1" x14ac:dyDescent="0.2">
      <c r="A20" s="4"/>
      <c r="B20" s="251" t="s">
        <v>354</v>
      </c>
      <c r="C20" s="251"/>
      <c r="D20" s="251"/>
      <c r="E20" s="251"/>
      <c r="F20" s="252">
        <f>+F17/12</f>
        <v>36333.333333333336</v>
      </c>
    </row>
    <row r="21" spans="1:6" ht="15.95" customHeight="1" x14ac:dyDescent="0.2">
      <c r="A21" s="4"/>
      <c r="B21" s="4"/>
      <c r="C21" s="4"/>
      <c r="D21" s="4"/>
      <c r="E21" s="4"/>
      <c r="F21" s="29"/>
    </row>
    <row r="22" spans="1:6" ht="20.25" customHeight="1" x14ac:dyDescent="0.2">
      <c r="A22" s="4"/>
      <c r="B22" s="5" t="s">
        <v>712</v>
      </c>
      <c r="C22" s="5" t="s">
        <v>717</v>
      </c>
      <c r="D22" s="29">
        <f>+F20</f>
        <v>36333.333333333336</v>
      </c>
      <c r="E22" s="57" t="s">
        <v>714</v>
      </c>
      <c r="F22" s="29">
        <f>+D22*9</f>
        <v>327000</v>
      </c>
    </row>
    <row r="23" spans="1:6" ht="20.25" customHeight="1" x14ac:dyDescent="0.2">
      <c r="A23" s="4"/>
      <c r="B23" s="5"/>
      <c r="C23" s="5"/>
      <c r="D23" s="29"/>
      <c r="E23" s="5"/>
      <c r="F23" s="29"/>
    </row>
    <row r="24" spans="1:6" ht="20.25" customHeight="1" x14ac:dyDescent="0.2">
      <c r="A24" s="4"/>
      <c r="B24" s="5" t="s">
        <v>713</v>
      </c>
      <c r="C24" s="5" t="s">
        <v>716</v>
      </c>
      <c r="D24" s="29">
        <f>+F20</f>
        <v>36333.333333333336</v>
      </c>
      <c r="E24" s="57" t="s">
        <v>715</v>
      </c>
      <c r="F24" s="29">
        <f>+F17-F22</f>
        <v>109000</v>
      </c>
    </row>
    <row r="25" spans="1:6" ht="15.95" customHeight="1" x14ac:dyDescent="0.2">
      <c r="A25" s="4"/>
      <c r="B25" s="4"/>
      <c r="C25" s="5"/>
      <c r="D25" s="29"/>
      <c r="E25" s="4"/>
      <c r="F25" s="4"/>
    </row>
    <row r="26" spans="1:6" ht="15.95" customHeight="1" x14ac:dyDescent="0.2">
      <c r="A26" s="4"/>
      <c r="B26" s="4"/>
      <c r="C26" s="5"/>
      <c r="D26" s="29"/>
      <c r="E26" s="4"/>
      <c r="F26" s="4"/>
    </row>
    <row r="27" spans="1:6" ht="18" customHeight="1" x14ac:dyDescent="0.2">
      <c r="A27" s="4"/>
      <c r="B27" s="4" t="s">
        <v>661</v>
      </c>
      <c r="C27" s="24"/>
      <c r="D27" s="24"/>
      <c r="E27" s="24"/>
      <c r="F27" s="29">
        <f>+F20</f>
        <v>36333.333333333336</v>
      </c>
    </row>
    <row r="28" spans="1:6" ht="18" customHeight="1" x14ac:dyDescent="0.2">
      <c r="A28" s="4"/>
      <c r="B28" s="4" t="s">
        <v>662</v>
      </c>
      <c r="C28" s="30"/>
      <c r="D28" s="30"/>
      <c r="E28" s="30"/>
      <c r="F28" s="29">
        <f>+F27</f>
        <v>36333.333333333336</v>
      </c>
    </row>
    <row r="29" spans="1:6" ht="18" customHeight="1" x14ac:dyDescent="0.2">
      <c r="A29" s="4"/>
      <c r="B29" s="4" t="s">
        <v>663</v>
      </c>
      <c r="C29" s="30"/>
      <c r="D29" s="30"/>
      <c r="E29" s="30"/>
      <c r="F29" s="29">
        <f>+F28</f>
        <v>36333.333333333336</v>
      </c>
    </row>
    <row r="30" spans="1:6" ht="18" customHeight="1" x14ac:dyDescent="0.2">
      <c r="A30" s="4"/>
      <c r="B30" s="4" t="s">
        <v>664</v>
      </c>
      <c r="C30" s="30"/>
      <c r="D30" s="30"/>
      <c r="E30" s="30"/>
      <c r="F30" s="29">
        <f>+F29</f>
        <v>36333.333333333336</v>
      </c>
    </row>
    <row r="31" spans="1:6" ht="18" customHeight="1" x14ac:dyDescent="0.2">
      <c r="A31" s="4"/>
      <c r="B31" s="4" t="s">
        <v>521</v>
      </c>
      <c r="C31" s="24"/>
      <c r="D31" s="24"/>
      <c r="E31" s="24"/>
      <c r="F31" s="29">
        <f>+F30</f>
        <v>36333.333333333336</v>
      </c>
    </row>
    <row r="32" spans="1:6" ht="18" customHeight="1" x14ac:dyDescent="0.35">
      <c r="A32" s="4"/>
      <c r="B32" s="30" t="s">
        <v>718</v>
      </c>
      <c r="C32" s="24"/>
      <c r="D32" s="24"/>
      <c r="E32" s="24"/>
      <c r="F32" s="275">
        <v>36333.33</v>
      </c>
    </row>
    <row r="33" spans="1:6" ht="15" hidden="1" x14ac:dyDescent="0.2">
      <c r="A33" s="4"/>
      <c r="B33" s="4" t="s">
        <v>719</v>
      </c>
      <c r="C33" s="24"/>
      <c r="D33" s="24"/>
      <c r="E33" s="24"/>
      <c r="F33" s="29"/>
    </row>
    <row r="34" spans="1:6" ht="15" hidden="1" x14ac:dyDescent="0.2">
      <c r="A34" s="4"/>
      <c r="B34" s="253" t="s">
        <v>720</v>
      </c>
      <c r="C34" s="24"/>
      <c r="D34" s="24"/>
      <c r="E34" s="24"/>
      <c r="F34" s="274"/>
    </row>
    <row r="35" spans="1:6" ht="15" hidden="1" x14ac:dyDescent="0.2">
      <c r="A35" s="4"/>
      <c r="B35" s="4" t="s">
        <v>721</v>
      </c>
      <c r="C35" s="30"/>
      <c r="D35" s="30"/>
      <c r="E35" s="30"/>
      <c r="F35" s="274"/>
    </row>
    <row r="36" spans="1:6" ht="15" hidden="1" x14ac:dyDescent="0.2">
      <c r="A36" s="4"/>
      <c r="B36" s="4" t="s">
        <v>722</v>
      </c>
      <c r="C36" s="4"/>
      <c r="D36" s="4"/>
      <c r="E36" s="4"/>
      <c r="F36" s="274"/>
    </row>
    <row r="37" spans="1:6" ht="15" hidden="1" x14ac:dyDescent="0.2">
      <c r="A37" s="4"/>
      <c r="B37" s="4" t="s">
        <v>723</v>
      </c>
      <c r="C37" s="24"/>
      <c r="D37" s="24"/>
      <c r="E37" s="24"/>
      <c r="F37" s="29"/>
    </row>
    <row r="38" spans="1:6" ht="17.25" hidden="1" x14ac:dyDescent="0.35">
      <c r="A38" s="4"/>
      <c r="B38" s="24" t="s">
        <v>724</v>
      </c>
      <c r="C38" s="24"/>
      <c r="D38" s="24"/>
      <c r="E38" s="24"/>
      <c r="F38" s="275"/>
    </row>
    <row r="39" spans="1:6" ht="15" x14ac:dyDescent="0.2">
      <c r="A39" s="4"/>
      <c r="B39" s="4"/>
      <c r="C39" s="24"/>
      <c r="D39" s="24"/>
      <c r="E39" s="24"/>
      <c r="F39" s="4"/>
    </row>
    <row r="40" spans="1:6" ht="20.25" x14ac:dyDescent="0.55000000000000004">
      <c r="A40" s="4"/>
      <c r="B40" s="209" t="s">
        <v>108</v>
      </c>
      <c r="C40" s="24"/>
      <c r="D40" s="24"/>
      <c r="E40" s="24"/>
      <c r="F40" s="276">
        <f>SUM(F27:F37)+0</f>
        <v>217999.9966666667</v>
      </c>
    </row>
    <row r="41" spans="1:6" ht="23.25" customHeight="1" x14ac:dyDescent="0.4">
      <c r="A41" s="4"/>
      <c r="B41" s="209" t="s">
        <v>371</v>
      </c>
      <c r="C41" s="209"/>
      <c r="D41" s="209"/>
      <c r="E41" s="209"/>
      <c r="F41" s="277">
        <f>+F14-F40</f>
        <v>218000.0033333333</v>
      </c>
    </row>
    <row r="42" spans="1:6" ht="15.95" customHeight="1" x14ac:dyDescent="0.25">
      <c r="A42" s="4"/>
      <c r="B42" s="209"/>
      <c r="C42" s="24"/>
      <c r="D42" s="24"/>
      <c r="E42" s="24"/>
      <c r="F42" s="274"/>
    </row>
    <row r="43" spans="1:6" ht="24.75" customHeight="1" x14ac:dyDescent="0.2">
      <c r="A43" s="4"/>
      <c r="B43" s="24"/>
      <c r="C43" s="24"/>
      <c r="D43" s="24"/>
      <c r="E43" s="24"/>
      <c r="F43" s="24"/>
    </row>
    <row r="44" spans="1:6" ht="24.75" customHeight="1" x14ac:dyDescent="0.2">
      <c r="A44" s="4"/>
      <c r="B44" s="24"/>
      <c r="C44" s="24"/>
      <c r="D44" s="24"/>
      <c r="E44" s="24"/>
      <c r="F44" s="24"/>
    </row>
    <row r="45" spans="1:6" ht="24.75" customHeight="1" x14ac:dyDescent="0.2">
      <c r="B45" s="24"/>
      <c r="C45" s="24"/>
      <c r="D45" s="24"/>
      <c r="E45" s="24"/>
      <c r="F45" s="24"/>
    </row>
    <row r="46" spans="1:6" ht="24.75" customHeight="1" x14ac:dyDescent="0.2">
      <c r="B46" s="24"/>
      <c r="C46" s="24"/>
      <c r="D46" s="24"/>
      <c r="E46" s="24"/>
      <c r="F46" s="24"/>
    </row>
    <row r="47" spans="1:6" ht="24.75" customHeight="1" x14ac:dyDescent="0.2">
      <c r="B47" s="24"/>
      <c r="C47" s="24"/>
      <c r="D47" s="24"/>
      <c r="E47" s="24"/>
      <c r="F47" s="24"/>
    </row>
    <row r="48" spans="1:6" ht="24.75" customHeight="1" x14ac:dyDescent="0.2">
      <c r="B48" s="24"/>
      <c r="C48" s="24"/>
      <c r="D48" s="24"/>
      <c r="E48" s="24"/>
      <c r="F48" s="24"/>
    </row>
    <row r="49" spans="2:6" ht="24.75" customHeight="1" x14ac:dyDescent="0.2">
      <c r="B49" s="24"/>
      <c r="C49" s="24"/>
      <c r="D49" s="24"/>
      <c r="E49" s="24"/>
      <c r="F49" s="24"/>
    </row>
    <row r="50" spans="2:6" ht="24.75" customHeight="1" x14ac:dyDescent="0.2">
      <c r="B50" s="24"/>
      <c r="C50" s="24"/>
      <c r="D50" s="24"/>
      <c r="E50" s="24"/>
      <c r="F50" s="24"/>
    </row>
    <row r="51" spans="2:6" ht="24.75" customHeight="1" x14ac:dyDescent="0.2">
      <c r="B51" s="24"/>
      <c r="C51" s="24"/>
      <c r="D51" s="24"/>
      <c r="E51" s="24"/>
      <c r="F51" s="24"/>
    </row>
    <row r="53" spans="2:6" ht="24.75" customHeight="1" x14ac:dyDescent="0.2">
      <c r="D53" s="279"/>
    </row>
    <row r="54" spans="2:6" ht="24.75" customHeight="1" x14ac:dyDescent="0.2">
      <c r="D54" s="279"/>
    </row>
  </sheetData>
  <mergeCells count="7">
    <mergeCell ref="B10:F10"/>
    <mergeCell ref="B3:F3"/>
    <mergeCell ref="B4:F4"/>
    <mergeCell ref="B5:F5"/>
    <mergeCell ref="B6:F6"/>
    <mergeCell ref="B8:F8"/>
    <mergeCell ref="B9:F9"/>
  </mergeCells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A74F-8E1F-4C20-B40A-9CF8D7BFFBCF}">
  <sheetPr codeName="Hoja19">
    <pageSetUpPr fitToPage="1"/>
  </sheetPr>
  <dimension ref="B5:F47"/>
  <sheetViews>
    <sheetView topLeftCell="A29" workbookViewId="0">
      <selection activeCell="B9" sqref="B9"/>
    </sheetView>
  </sheetViews>
  <sheetFormatPr baseColWidth="10" defaultColWidth="11.42578125" defaultRowHeight="15" x14ac:dyDescent="0.2"/>
  <cols>
    <col min="1" max="1" width="2.5703125" style="4" customWidth="1"/>
    <col min="2" max="2" width="34.7109375" style="4" bestFit="1" customWidth="1"/>
    <col min="3" max="3" width="27.85546875" style="4" bestFit="1" customWidth="1"/>
    <col min="4" max="4" width="14.140625" style="4" bestFit="1" customWidth="1"/>
    <col min="5" max="5" width="11.42578125" style="4"/>
    <col min="6" max="6" width="16.42578125" style="4" bestFit="1" customWidth="1"/>
    <col min="7" max="16384" width="11.42578125" style="4"/>
  </cols>
  <sheetData>
    <row r="5" spans="2:6" ht="18" customHeight="1" x14ac:dyDescent="0.25">
      <c r="B5" s="632" t="s">
        <v>321</v>
      </c>
      <c r="C5" s="632"/>
      <c r="D5" s="632"/>
      <c r="E5" s="632"/>
      <c r="F5" s="632"/>
    </row>
    <row r="6" spans="2:6" ht="18" customHeight="1" x14ac:dyDescent="0.25">
      <c r="B6" s="632" t="s">
        <v>223</v>
      </c>
      <c r="C6" s="632"/>
      <c r="D6" s="632"/>
      <c r="E6" s="632"/>
      <c r="F6" s="632"/>
    </row>
    <row r="7" spans="2:6" ht="18" customHeight="1" x14ac:dyDescent="0.25">
      <c r="B7" s="632" t="s">
        <v>325</v>
      </c>
      <c r="C7" s="632"/>
      <c r="D7" s="632"/>
      <c r="E7" s="632"/>
      <c r="F7" s="632"/>
    </row>
    <row r="8" spans="2:6" ht="18" customHeight="1" x14ac:dyDescent="0.25">
      <c r="B8" s="662">
        <v>45930</v>
      </c>
      <c r="C8" s="662"/>
      <c r="D8" s="662"/>
      <c r="E8" s="662"/>
      <c r="F8" s="662"/>
    </row>
    <row r="10" spans="2:6" x14ac:dyDescent="0.2">
      <c r="B10" s="663" t="s">
        <v>385</v>
      </c>
      <c r="C10" s="663"/>
      <c r="D10" s="663"/>
      <c r="E10" s="663"/>
      <c r="F10" s="663"/>
    </row>
    <row r="11" spans="2:6" ht="15.75" x14ac:dyDescent="0.25">
      <c r="B11" s="625" t="s">
        <v>742</v>
      </c>
      <c r="C11" s="625"/>
      <c r="D11" s="625"/>
      <c r="E11" s="625"/>
      <c r="F11" s="625"/>
    </row>
    <row r="12" spans="2:6" x14ac:dyDescent="0.2">
      <c r="B12" s="625" t="s">
        <v>386</v>
      </c>
      <c r="C12" s="625"/>
      <c r="D12" s="625"/>
      <c r="E12" s="625"/>
      <c r="F12" s="625"/>
    </row>
    <row r="13" spans="2:6" ht="15.75" thickBot="1" x14ac:dyDescent="0.25"/>
    <row r="14" spans="2:6" ht="16.5" thickBot="1" x14ac:dyDescent="0.3">
      <c r="B14" s="257" t="s">
        <v>293</v>
      </c>
      <c r="C14" s="258"/>
      <c r="D14" s="258" t="s">
        <v>374</v>
      </c>
      <c r="E14" s="258"/>
      <c r="F14" s="259" t="s">
        <v>338</v>
      </c>
    </row>
    <row r="15" spans="2:6" ht="20.25" customHeight="1" x14ac:dyDescent="0.35">
      <c r="B15" s="260" t="s">
        <v>387</v>
      </c>
      <c r="C15" s="261"/>
      <c r="D15" s="262" t="s">
        <v>376</v>
      </c>
      <c r="E15" s="261"/>
      <c r="F15" s="263">
        <v>900000</v>
      </c>
    </row>
    <row r="16" spans="2:6" ht="18.75" thickBot="1" x14ac:dyDescent="0.45">
      <c r="B16" s="264" t="s">
        <v>286</v>
      </c>
      <c r="C16" s="265"/>
      <c r="D16" s="265"/>
      <c r="E16" s="265"/>
      <c r="F16" s="266">
        <f>SUM(F15:F15)</f>
        <v>900000</v>
      </c>
    </row>
    <row r="17" spans="2:6" ht="15.75" thickBot="1" x14ac:dyDescent="0.25"/>
    <row r="18" spans="2:6" ht="16.5" thickBot="1" x14ac:dyDescent="0.3">
      <c r="B18" s="257" t="s">
        <v>291</v>
      </c>
      <c r="C18" s="258" t="s">
        <v>377</v>
      </c>
      <c r="D18" s="258"/>
      <c r="E18" s="258" t="s">
        <v>378</v>
      </c>
      <c r="F18" s="259" t="s">
        <v>292</v>
      </c>
    </row>
    <row r="19" spans="2:6" x14ac:dyDescent="0.2">
      <c r="B19" s="283" t="s">
        <v>388</v>
      </c>
      <c r="C19" s="292" t="s">
        <v>389</v>
      </c>
      <c r="D19" s="284"/>
      <c r="E19" s="285">
        <v>45510</v>
      </c>
      <c r="F19" s="286">
        <v>900000</v>
      </c>
    </row>
    <row r="20" spans="2:6" ht="18" thickBot="1" x14ac:dyDescent="0.4">
      <c r="B20" s="287"/>
      <c r="C20" s="288"/>
      <c r="D20" s="288"/>
      <c r="E20" s="289"/>
      <c r="F20" s="290"/>
    </row>
    <row r="22" spans="2:6" x14ac:dyDescent="0.2">
      <c r="B22" s="251" t="s">
        <v>354</v>
      </c>
      <c r="C22" s="251"/>
      <c r="D22" s="251"/>
      <c r="E22" s="251"/>
      <c r="F22" s="252">
        <f>+F19/12</f>
        <v>75000</v>
      </c>
    </row>
    <row r="23" spans="2:6" x14ac:dyDescent="0.2">
      <c r="F23" s="29"/>
    </row>
    <row r="24" spans="2:6" x14ac:dyDescent="0.2">
      <c r="B24" s="5" t="s">
        <v>390</v>
      </c>
      <c r="C24" s="5" t="s">
        <v>391</v>
      </c>
      <c r="D24" s="29">
        <f>+F22</f>
        <v>75000</v>
      </c>
      <c r="E24" s="57" t="s">
        <v>392</v>
      </c>
      <c r="F24" s="29">
        <f>+D24*5</f>
        <v>375000</v>
      </c>
    </row>
    <row r="25" spans="2:6" x14ac:dyDescent="0.2">
      <c r="B25" s="5"/>
      <c r="C25" s="5"/>
      <c r="D25" s="29"/>
      <c r="E25" s="5"/>
      <c r="F25" s="29"/>
    </row>
    <row r="26" spans="2:6" x14ac:dyDescent="0.2">
      <c r="B26" s="5" t="s">
        <v>393</v>
      </c>
      <c r="C26" s="5" t="s">
        <v>394</v>
      </c>
      <c r="D26" s="29">
        <f>+F22</f>
        <v>75000</v>
      </c>
      <c r="E26" s="57" t="s">
        <v>395</v>
      </c>
      <c r="F26" s="29">
        <f>+D26*7</f>
        <v>525000</v>
      </c>
    </row>
    <row r="27" spans="2:6" x14ac:dyDescent="0.2">
      <c r="C27" s="5"/>
      <c r="D27" s="29"/>
    </row>
    <row r="28" spans="2:6" x14ac:dyDescent="0.2">
      <c r="C28" s="5"/>
      <c r="D28" s="29"/>
    </row>
    <row r="29" spans="2:6" x14ac:dyDescent="0.2">
      <c r="B29" s="4" t="s">
        <v>383</v>
      </c>
      <c r="C29" s="5"/>
      <c r="D29" s="29"/>
      <c r="F29" s="29">
        <v>75000</v>
      </c>
    </row>
    <row r="30" spans="2:6" x14ac:dyDescent="0.2">
      <c r="B30" s="24" t="s">
        <v>396</v>
      </c>
      <c r="C30" s="24"/>
      <c r="D30" s="24"/>
      <c r="E30" s="24"/>
      <c r="F30" s="29">
        <v>75000</v>
      </c>
    </row>
    <row r="31" spans="2:6" x14ac:dyDescent="0.2">
      <c r="B31" s="4" t="s">
        <v>397</v>
      </c>
      <c r="C31" s="24"/>
      <c r="D31" s="24"/>
      <c r="E31" s="24"/>
      <c r="F31" s="29">
        <v>75000</v>
      </c>
    </row>
    <row r="32" spans="2:6" x14ac:dyDescent="0.2">
      <c r="B32" s="253" t="s">
        <v>398</v>
      </c>
      <c r="C32" s="30"/>
      <c r="D32" s="30"/>
      <c r="E32" s="30"/>
      <c r="F32" s="29">
        <v>75000</v>
      </c>
    </row>
    <row r="33" spans="2:6" x14ac:dyDescent="0.2">
      <c r="B33" s="4" t="s">
        <v>399</v>
      </c>
      <c r="C33" s="30"/>
      <c r="D33" s="30"/>
      <c r="E33" s="30"/>
      <c r="F33" s="29">
        <v>75000</v>
      </c>
    </row>
    <row r="34" spans="2:6" x14ac:dyDescent="0.2">
      <c r="B34" s="4" t="s">
        <v>400</v>
      </c>
      <c r="C34" s="30"/>
      <c r="D34" s="30"/>
      <c r="E34" s="30"/>
      <c r="F34" s="29">
        <v>75000</v>
      </c>
    </row>
    <row r="35" spans="2:6" x14ac:dyDescent="0.2">
      <c r="B35" s="4" t="s">
        <v>384</v>
      </c>
      <c r="C35" s="24"/>
      <c r="D35" s="24"/>
      <c r="E35" s="24"/>
      <c r="F35" s="29">
        <v>75000</v>
      </c>
    </row>
    <row r="36" spans="2:6" x14ac:dyDescent="0.2">
      <c r="B36" s="4" t="s">
        <v>401</v>
      </c>
      <c r="C36" s="24"/>
      <c r="D36" s="24"/>
      <c r="E36" s="24"/>
      <c r="F36" s="29">
        <v>75000</v>
      </c>
    </row>
    <row r="37" spans="2:6" x14ac:dyDescent="0.2">
      <c r="B37" s="4" t="s">
        <v>402</v>
      </c>
      <c r="C37" s="24"/>
      <c r="D37" s="24"/>
      <c r="E37" s="24"/>
      <c r="F37" s="29">
        <v>75000</v>
      </c>
    </row>
    <row r="38" spans="2:6" x14ac:dyDescent="0.2">
      <c r="B38" s="24" t="s">
        <v>403</v>
      </c>
      <c r="C38" s="24"/>
      <c r="D38" s="24"/>
      <c r="E38" s="24"/>
      <c r="F38" s="29">
        <v>75000</v>
      </c>
    </row>
    <row r="39" spans="2:6" x14ac:dyDescent="0.2">
      <c r="B39" s="4" t="s">
        <v>404</v>
      </c>
      <c r="C39" s="24"/>
      <c r="D39" s="24"/>
      <c r="E39" s="24"/>
      <c r="F39" s="29">
        <v>75000</v>
      </c>
    </row>
    <row r="40" spans="2:6" ht="17.25" x14ac:dyDescent="0.35">
      <c r="B40" s="24" t="s">
        <v>405</v>
      </c>
      <c r="F40" s="275">
        <v>75000</v>
      </c>
    </row>
    <row r="41" spans="2:6" ht="16.5" customHeight="1" x14ac:dyDescent="0.25">
      <c r="B41" s="209" t="s">
        <v>108</v>
      </c>
      <c r="C41" s="24"/>
      <c r="D41" s="24"/>
      <c r="E41" s="24"/>
      <c r="F41" s="291">
        <f>SUM(F29:F40)+0</f>
        <v>900000</v>
      </c>
    </row>
    <row r="42" spans="2:6" x14ac:dyDescent="0.2">
      <c r="B42" s="24"/>
      <c r="C42" s="24"/>
      <c r="D42" s="24"/>
      <c r="E42" s="24"/>
      <c r="F42" s="274"/>
    </row>
    <row r="43" spans="2:6" ht="18" x14ac:dyDescent="0.4">
      <c r="B43" s="209" t="s">
        <v>371</v>
      </c>
      <c r="C43" s="209"/>
      <c r="D43" s="209"/>
      <c r="E43" s="209"/>
      <c r="F43" s="277">
        <f>+F16-F41</f>
        <v>0</v>
      </c>
    </row>
    <row r="44" spans="2:6" x14ac:dyDescent="0.2">
      <c r="B44" s="24"/>
      <c r="C44" s="24"/>
      <c r="D44" s="24"/>
      <c r="E44" s="24"/>
      <c r="F44" s="274"/>
    </row>
    <row r="47" spans="2:6" x14ac:dyDescent="0.2">
      <c r="F47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-0.499984740745262"/>
    <pageSetUpPr fitToPage="1"/>
  </sheetPr>
  <dimension ref="A1:L51"/>
  <sheetViews>
    <sheetView zoomScale="90" zoomScaleNormal="90" workbookViewId="0">
      <selection activeCell="F32" sqref="F32:F37"/>
    </sheetView>
  </sheetViews>
  <sheetFormatPr baseColWidth="10" defaultColWidth="9.140625" defaultRowHeight="15" x14ac:dyDescent="0.2"/>
  <cols>
    <col min="1" max="1" width="49.42578125" style="4" customWidth="1"/>
    <col min="2" max="2" width="10.42578125" style="4" customWidth="1"/>
    <col min="3" max="3" width="28.7109375" style="29" bestFit="1" customWidth="1"/>
    <col min="4" max="4" width="26.140625" style="29" customWidth="1"/>
    <col min="5" max="5" width="28.140625" style="29" bestFit="1" customWidth="1"/>
    <col min="6" max="6" width="20.5703125" style="4" bestFit="1" customWidth="1"/>
    <col min="7" max="7" width="21.140625" style="4" customWidth="1"/>
    <col min="8" max="8" width="19.140625" style="4" bestFit="1" customWidth="1"/>
    <col min="9" max="16384" width="9.140625" style="4"/>
  </cols>
  <sheetData>
    <row r="1" spans="1:12" ht="24.75" customHeight="1" x14ac:dyDescent="0.2">
      <c r="A1" s="70"/>
      <c r="B1" s="70"/>
      <c r="C1" s="71"/>
      <c r="D1" s="71"/>
      <c r="E1" s="71"/>
    </row>
    <row r="2" spans="1:12" x14ac:dyDescent="0.2">
      <c r="A2" s="70"/>
      <c r="B2" s="70"/>
      <c r="C2" s="71"/>
      <c r="D2" s="71"/>
      <c r="E2" s="71"/>
    </row>
    <row r="3" spans="1:12" x14ac:dyDescent="0.2">
      <c r="A3" s="70"/>
      <c r="B3" s="70"/>
      <c r="C3" s="71"/>
      <c r="D3" s="71"/>
      <c r="E3" s="71"/>
    </row>
    <row r="4" spans="1:12" x14ac:dyDescent="0.2">
      <c r="A4" s="70"/>
      <c r="B4" s="70"/>
      <c r="C4" s="71"/>
      <c r="D4" s="71"/>
      <c r="E4" s="71"/>
    </row>
    <row r="5" spans="1:12" x14ac:dyDescent="0.2">
      <c r="A5" s="70"/>
      <c r="B5" s="70"/>
      <c r="C5" s="71"/>
      <c r="D5" s="71"/>
      <c r="E5" s="71"/>
      <c r="F5" s="72"/>
    </row>
    <row r="6" spans="1:12" s="9" customFormat="1" ht="26.25" customHeight="1" x14ac:dyDescent="0.25">
      <c r="A6" s="628" t="s">
        <v>1</v>
      </c>
      <c r="B6" s="628"/>
      <c r="C6" s="628"/>
      <c r="D6" s="628"/>
      <c r="E6" s="628"/>
      <c r="H6" s="73"/>
      <c r="I6" s="73"/>
      <c r="J6" s="73"/>
      <c r="K6" s="73"/>
      <c r="L6" s="73"/>
    </row>
    <row r="7" spans="1:12" s="9" customFormat="1" ht="26.25" customHeight="1" x14ac:dyDescent="0.25">
      <c r="A7" s="629" t="s">
        <v>41</v>
      </c>
      <c r="B7" s="629"/>
      <c r="C7" s="629"/>
      <c r="D7" s="629"/>
      <c r="E7" s="629"/>
      <c r="F7" s="36"/>
      <c r="H7" s="74"/>
      <c r="I7" s="74"/>
      <c r="J7" s="74"/>
      <c r="K7" s="74"/>
      <c r="L7" s="74"/>
    </row>
    <row r="8" spans="1:12" s="9" customFormat="1" ht="26.25" customHeight="1" x14ac:dyDescent="0.25">
      <c r="A8" s="630" t="s">
        <v>854</v>
      </c>
      <c r="B8" s="630"/>
      <c r="C8" s="630"/>
      <c r="D8" s="630"/>
      <c r="E8" s="630"/>
      <c r="F8" s="36"/>
      <c r="H8" s="75"/>
      <c r="I8" s="75"/>
      <c r="J8" s="75"/>
      <c r="K8" s="75"/>
      <c r="L8" s="75"/>
    </row>
    <row r="9" spans="1:12" s="9" customFormat="1" ht="26.25" customHeight="1" x14ac:dyDescent="0.25">
      <c r="A9" s="631" t="s">
        <v>3</v>
      </c>
      <c r="B9" s="631"/>
      <c r="C9" s="631"/>
      <c r="D9" s="631"/>
      <c r="E9" s="631"/>
      <c r="F9" s="36"/>
    </row>
    <row r="10" spans="1:12" s="9" customFormat="1" ht="18" x14ac:dyDescent="0.25">
      <c r="A10" s="34"/>
      <c r="B10" s="34"/>
      <c r="C10" s="34"/>
      <c r="D10" s="34"/>
      <c r="E10" s="34"/>
      <c r="F10" s="76"/>
    </row>
    <row r="11" spans="1:12" s="9" customFormat="1" ht="18" x14ac:dyDescent="0.25">
      <c r="C11" s="77"/>
      <c r="D11" s="77"/>
      <c r="E11" s="77"/>
    </row>
    <row r="12" spans="1:12" s="37" customFormat="1" ht="38.450000000000003" customHeight="1" x14ac:dyDescent="0.2">
      <c r="B12" s="78" t="s">
        <v>42</v>
      </c>
      <c r="C12" s="38" t="s">
        <v>43</v>
      </c>
      <c r="D12" s="38" t="s">
        <v>44</v>
      </c>
      <c r="E12" s="38" t="s">
        <v>7</v>
      </c>
    </row>
    <row r="13" spans="1:12" ht="23.25" customHeight="1" x14ac:dyDescent="0.25">
      <c r="A13" s="40" t="s">
        <v>45</v>
      </c>
      <c r="B13" s="40"/>
      <c r="C13" s="47"/>
      <c r="D13" s="47"/>
      <c r="E13" s="47"/>
    </row>
    <row r="14" spans="1:12" ht="21" customHeight="1" x14ac:dyDescent="0.2">
      <c r="A14" s="4" t="s">
        <v>46</v>
      </c>
      <c r="B14" s="5">
        <v>15</v>
      </c>
      <c r="C14" s="47">
        <v>1709914.86</v>
      </c>
      <c r="D14" s="47">
        <f>+'A-RESULTADOS ANEXOS'!E15</f>
        <v>1709914.86</v>
      </c>
      <c r="E14" s="47">
        <f>C14-D14</f>
        <v>0</v>
      </c>
      <c r="F14" s="21"/>
    </row>
    <row r="15" spans="1:12" ht="21" customHeight="1" x14ac:dyDescent="0.2">
      <c r="A15" s="4" t="s">
        <v>47</v>
      </c>
      <c r="B15" s="5">
        <v>16</v>
      </c>
      <c r="C15" s="47">
        <f>+'A-RESULTADOS ANEXOS'!D23</f>
        <v>112681062.13</v>
      </c>
      <c r="D15" s="47">
        <f>+'A-RESULTADOS ANEXOS'!E21</f>
        <v>97928249.969999999</v>
      </c>
      <c r="E15" s="47">
        <f>C15-D15</f>
        <v>14752812.159999996</v>
      </c>
      <c r="F15" s="21"/>
    </row>
    <row r="16" spans="1:12" ht="21" customHeight="1" x14ac:dyDescent="0.2">
      <c r="A16" s="4" t="s">
        <v>48</v>
      </c>
      <c r="B16" s="5">
        <v>17</v>
      </c>
      <c r="C16" s="79">
        <f>+'A-RESULTADOS ANEXOS'!D29</f>
        <v>2065881.61</v>
      </c>
      <c r="D16" s="79">
        <f>+'A-RESULTADOS ANEXOS'!E27</f>
        <v>1825584.55</v>
      </c>
      <c r="E16" s="80">
        <f>C16-D16</f>
        <v>240297.06000000006</v>
      </c>
      <c r="F16" s="21"/>
    </row>
    <row r="17" spans="1:6" ht="21" customHeight="1" x14ac:dyDescent="0.25">
      <c r="A17" s="40" t="s">
        <v>49</v>
      </c>
      <c r="B17" s="28"/>
      <c r="C17" s="66">
        <f>SUM(C14:C16)</f>
        <v>116456858.59999999</v>
      </c>
      <c r="D17" s="66">
        <f>SUM(D14:D16)</f>
        <v>101463749.38</v>
      </c>
      <c r="E17" s="66">
        <f>SUM(E14:E16)</f>
        <v>14993109.219999997</v>
      </c>
      <c r="F17" s="21"/>
    </row>
    <row r="18" spans="1:6" x14ac:dyDescent="0.2">
      <c r="B18" s="5"/>
      <c r="C18" s="47"/>
      <c r="D18" s="47"/>
      <c r="E18" s="47"/>
      <c r="F18" s="21"/>
    </row>
    <row r="19" spans="1:6" x14ac:dyDescent="0.2">
      <c r="B19" s="5"/>
      <c r="C19" s="47"/>
      <c r="D19" s="47"/>
      <c r="E19" s="47"/>
      <c r="F19" s="21"/>
    </row>
    <row r="20" spans="1:6" ht="23.25" customHeight="1" x14ac:dyDescent="0.25">
      <c r="A20" s="40" t="s">
        <v>50</v>
      </c>
      <c r="B20" s="28"/>
      <c r="F20" s="21"/>
    </row>
    <row r="21" spans="1:6" ht="21" customHeight="1" x14ac:dyDescent="0.2">
      <c r="A21" s="4" t="s">
        <v>51</v>
      </c>
      <c r="B21" s="5">
        <v>18</v>
      </c>
      <c r="C21" s="47">
        <f>+'A-RESULTADOS ANEXOS'!D51</f>
        <v>169798103.86999997</v>
      </c>
      <c r="D21" s="47">
        <f>+'A-RESULTADOS ANEXOS'!E51</f>
        <v>148012731.17999998</v>
      </c>
      <c r="E21" s="47">
        <f>C21-D21</f>
        <v>21785372.689999998</v>
      </c>
      <c r="F21" s="21"/>
    </row>
    <row r="22" spans="1:6" ht="21" customHeight="1" x14ac:dyDescent="0.2">
      <c r="A22" s="4" t="s">
        <v>52</v>
      </c>
      <c r="B22" s="5">
        <v>19</v>
      </c>
      <c r="C22" s="47">
        <f>+'A-RESULTADOS ANEXOS'!D89</f>
        <v>217231466.08000001</v>
      </c>
      <c r="D22" s="47">
        <f>+'A-RESULTADOS ANEXOS'!E89</f>
        <v>209553987.75999999</v>
      </c>
      <c r="E22" s="47">
        <f>C22-D22</f>
        <v>7677478.3200000226</v>
      </c>
      <c r="F22" s="21"/>
    </row>
    <row r="23" spans="1:6" ht="21" customHeight="1" x14ac:dyDescent="0.2">
      <c r="A23" s="4" t="s">
        <v>53</v>
      </c>
      <c r="B23" s="5">
        <v>20</v>
      </c>
      <c r="C23" s="47">
        <f>+'A-RESULTADOS ANEXOS'!D109</f>
        <v>19809281.930000003</v>
      </c>
      <c r="D23" s="47">
        <f>+'A-RESULTADOS ANEXOS'!E109</f>
        <v>17866750.48</v>
      </c>
      <c r="E23" s="47">
        <f>C23-D23</f>
        <v>1942531.450000003</v>
      </c>
      <c r="F23" s="21"/>
    </row>
    <row r="24" spans="1:6" ht="21" customHeight="1" x14ac:dyDescent="0.2">
      <c r="A24" s="4" t="s">
        <v>788</v>
      </c>
      <c r="B24" s="5">
        <v>21</v>
      </c>
      <c r="C24" s="80">
        <f>+'A-RESULTADOS ANEXOS'!D120</f>
        <v>233535333.03999999</v>
      </c>
      <c r="D24" s="80">
        <f>+'A-RESULTADOS ANEXOS'!E120</f>
        <v>231620965.62</v>
      </c>
      <c r="E24" s="80">
        <f>C24-D24</f>
        <v>1914367.4199999869</v>
      </c>
      <c r="F24" s="21"/>
    </row>
    <row r="25" spans="1:6" ht="23.25" customHeight="1" x14ac:dyDescent="0.25">
      <c r="A25" s="40" t="s">
        <v>54</v>
      </c>
      <c r="B25" s="28"/>
      <c r="C25" s="66">
        <f>SUM(C21:C24)</f>
        <v>640374184.91999996</v>
      </c>
      <c r="D25" s="66">
        <f>SUM(D21:D24)</f>
        <v>607054435.03999996</v>
      </c>
      <c r="E25" s="66">
        <f>SUM(E21:E24)</f>
        <v>33319749.88000001</v>
      </c>
      <c r="F25" s="21"/>
    </row>
    <row r="26" spans="1:6" x14ac:dyDescent="0.2">
      <c r="B26" s="5"/>
      <c r="C26" s="47"/>
      <c r="D26" s="47"/>
      <c r="E26" s="47"/>
      <c r="F26" s="21"/>
    </row>
    <row r="27" spans="1:6" ht="22.5" customHeight="1" x14ac:dyDescent="0.25">
      <c r="A27" s="40" t="s">
        <v>55</v>
      </c>
      <c r="B27" s="28"/>
      <c r="C27" s="66">
        <f>+C17-C25</f>
        <v>-523917326.31999993</v>
      </c>
      <c r="D27" s="66">
        <f>+D17-D25</f>
        <v>-505590685.65999997</v>
      </c>
      <c r="E27" s="66">
        <f>+E17-E25</f>
        <v>-18326640.660000011</v>
      </c>
      <c r="F27" s="21"/>
    </row>
    <row r="28" spans="1:6" x14ac:dyDescent="0.2">
      <c r="B28" s="5"/>
      <c r="C28" s="47"/>
      <c r="D28" s="47"/>
      <c r="E28" s="47"/>
      <c r="F28" s="21"/>
    </row>
    <row r="29" spans="1:6" ht="23.25" customHeight="1" x14ac:dyDescent="0.25">
      <c r="A29" s="40" t="s">
        <v>56</v>
      </c>
      <c r="B29" s="28"/>
      <c r="F29" s="21"/>
    </row>
    <row r="30" spans="1:6" ht="21" customHeight="1" x14ac:dyDescent="0.2">
      <c r="A30" s="4" t="s">
        <v>57</v>
      </c>
      <c r="B30" s="5">
        <v>22</v>
      </c>
      <c r="C30" s="29">
        <f>+'A-RESULTADOS ANEXOS'!D124</f>
        <v>68644.08</v>
      </c>
      <c r="D30" s="29">
        <f>+'A-RESULTADOS ANEXOS'!E124</f>
        <v>68644.08</v>
      </c>
      <c r="E30" s="29">
        <f>C30-D30</f>
        <v>0</v>
      </c>
      <c r="F30" s="21"/>
    </row>
    <row r="31" spans="1:6" ht="21" customHeight="1" x14ac:dyDescent="0.2">
      <c r="A31" s="4" t="s">
        <v>58</v>
      </c>
      <c r="B31" s="5"/>
      <c r="C31" s="80">
        <f>+'A-RESULTADOS ANEXOS'!D125</f>
        <v>-74002</v>
      </c>
      <c r="D31" s="80">
        <v>-62596.25</v>
      </c>
      <c r="E31" s="80">
        <f>+C31-D31</f>
        <v>-11405.75</v>
      </c>
      <c r="F31" s="21"/>
    </row>
    <row r="32" spans="1:6" ht="39.75" customHeight="1" x14ac:dyDescent="0.25">
      <c r="A32" s="81" t="s">
        <v>59</v>
      </c>
      <c r="B32" s="40"/>
      <c r="C32" s="66">
        <f>SUM(C30:C31)</f>
        <v>-5357.9199999999983</v>
      </c>
      <c r="D32" s="66">
        <f>SUM(D30:D31)</f>
        <v>6047.8300000000017</v>
      </c>
      <c r="E32" s="66">
        <f>SUM(E30:E31)</f>
        <v>-11405.75</v>
      </c>
      <c r="F32" s="21"/>
    </row>
    <row r="33" spans="1:6" x14ac:dyDescent="0.2">
      <c r="C33" s="47"/>
      <c r="D33" s="47"/>
      <c r="E33" s="47"/>
      <c r="F33" s="21"/>
    </row>
    <row r="34" spans="1:6" x14ac:dyDescent="0.2">
      <c r="C34" s="47"/>
      <c r="D34" s="47"/>
      <c r="E34" s="47"/>
      <c r="F34" s="21"/>
    </row>
    <row r="35" spans="1:6" x14ac:dyDescent="0.2">
      <c r="C35" s="47"/>
      <c r="D35" s="47"/>
      <c r="E35" s="47"/>
      <c r="F35" s="21"/>
    </row>
    <row r="36" spans="1:6" ht="30" customHeight="1" thickBot="1" x14ac:dyDescent="0.3">
      <c r="A36" s="40" t="s">
        <v>60</v>
      </c>
      <c r="B36" s="82"/>
      <c r="C36" s="83">
        <f>C27+C32</f>
        <v>-523922684.23999995</v>
      </c>
      <c r="D36" s="83">
        <f>D27+D32</f>
        <v>-505584637.82999998</v>
      </c>
      <c r="E36" s="83">
        <f>E27+E32</f>
        <v>-18338046.410000011</v>
      </c>
      <c r="F36" s="21"/>
    </row>
    <row r="37" spans="1:6" ht="15.75" thickTop="1" x14ac:dyDescent="0.2">
      <c r="C37" s="84">
        <f>C27-C36+C32</f>
        <v>1.6691046766936779E-8</v>
      </c>
      <c r="D37" s="84">
        <f>D27-D36+D32</f>
        <v>1.6691046766936779E-8</v>
      </c>
      <c r="E37" s="84">
        <f>E27-E36+E32</f>
        <v>0</v>
      </c>
      <c r="F37" s="21"/>
    </row>
    <row r="38" spans="1:6" x14ac:dyDescent="0.2">
      <c r="C38" s="85"/>
      <c r="D38" s="86"/>
      <c r="E38" s="87"/>
      <c r="F38" s="21"/>
    </row>
    <row r="39" spans="1:6" x14ac:dyDescent="0.2">
      <c r="C39" s="88"/>
      <c r="D39" s="86"/>
      <c r="E39" s="87"/>
      <c r="F39" s="21"/>
    </row>
    <row r="40" spans="1:6" x14ac:dyDescent="0.2">
      <c r="A40" s="70"/>
      <c r="B40" s="70"/>
      <c r="C40" s="71"/>
      <c r="D40" s="71"/>
      <c r="E40" s="71"/>
      <c r="F40" s="21"/>
    </row>
    <row r="41" spans="1:6" x14ac:dyDescent="0.2">
      <c r="A41" s="89"/>
      <c r="B41" s="89"/>
      <c r="C41" s="71"/>
      <c r="D41" s="71"/>
      <c r="E41" s="71"/>
      <c r="F41" s="21"/>
    </row>
    <row r="42" spans="1:6" x14ac:dyDescent="0.2">
      <c r="A42" s="71"/>
      <c r="B42" s="71"/>
      <c r="C42" s="71"/>
      <c r="D42" s="71"/>
      <c r="E42" s="71"/>
    </row>
    <row r="43" spans="1:6" x14ac:dyDescent="0.2">
      <c r="A43" s="71"/>
      <c r="B43" s="71"/>
      <c r="C43" s="71"/>
      <c r="D43" s="71"/>
      <c r="E43" s="71"/>
    </row>
    <row r="44" spans="1:6" s="40" customFormat="1" ht="15.75" x14ac:dyDescent="0.25">
      <c r="A44" s="90" t="s">
        <v>61</v>
      </c>
      <c r="B44" s="91"/>
      <c r="C44" s="91"/>
      <c r="D44" s="635" t="s">
        <v>36</v>
      </c>
      <c r="E44" s="635"/>
    </row>
    <row r="45" spans="1:6" ht="18.75" customHeight="1" x14ac:dyDescent="0.2">
      <c r="A45" s="92" t="str">
        <f>+'Estado Situación'!A57</f>
        <v>Encargado División de Contabilidad</v>
      </c>
      <c r="B45" s="71"/>
      <c r="C45" s="71"/>
      <c r="D45" s="636" t="s">
        <v>38</v>
      </c>
      <c r="E45" s="636"/>
    </row>
    <row r="46" spans="1:6" ht="32.25" customHeight="1" x14ac:dyDescent="0.2">
      <c r="A46" s="89"/>
      <c r="B46" s="89"/>
      <c r="C46" s="71"/>
      <c r="D46" s="71"/>
      <c r="E46" s="71"/>
    </row>
    <row r="47" spans="1:6" x14ac:dyDescent="0.2">
      <c r="A47" s="70"/>
      <c r="B47" s="70"/>
      <c r="C47" s="71"/>
      <c r="D47" s="71"/>
      <c r="E47" s="71"/>
    </row>
    <row r="48" spans="1:6" x14ac:dyDescent="0.2">
      <c r="A48" s="70"/>
      <c r="B48" s="70"/>
      <c r="C48" s="71"/>
      <c r="D48" s="71"/>
      <c r="E48" s="71"/>
    </row>
    <row r="49" spans="1:5" s="40" customFormat="1" ht="15.75" x14ac:dyDescent="0.25">
      <c r="A49" s="633" t="s">
        <v>39</v>
      </c>
      <c r="B49" s="633"/>
      <c r="C49" s="633"/>
      <c r="D49" s="633"/>
      <c r="E49" s="633"/>
    </row>
    <row r="50" spans="1:5" x14ac:dyDescent="0.2">
      <c r="A50" s="634" t="s">
        <v>40</v>
      </c>
      <c r="B50" s="634"/>
      <c r="C50" s="634"/>
      <c r="D50" s="634"/>
      <c r="E50" s="634"/>
    </row>
    <row r="51" spans="1:5" x14ac:dyDescent="0.2">
      <c r="A51" s="70"/>
      <c r="B51" s="70"/>
      <c r="C51" s="71"/>
      <c r="D51" s="71"/>
      <c r="E51" s="71"/>
    </row>
  </sheetData>
  <mergeCells count="8">
    <mergeCell ref="A49:E49"/>
    <mergeCell ref="A50:E50"/>
    <mergeCell ref="A6:E6"/>
    <mergeCell ref="A7:E7"/>
    <mergeCell ref="A8:E8"/>
    <mergeCell ref="A9:E9"/>
    <mergeCell ref="D44:E44"/>
    <mergeCell ref="D45:E45"/>
  </mergeCells>
  <phoneticPr fontId="75" type="noConversion"/>
  <pageMargins left="0.82677165354330717" right="0.78740157480314965" top="0.43307086614173229" bottom="0.82677165354330717" header="0" footer="0"/>
  <pageSetup scale="6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FAAC-D7A2-489E-BF22-5E6D40370F14}">
  <sheetPr codeName="Hoja20">
    <pageSetUpPr fitToPage="1"/>
  </sheetPr>
  <dimension ref="B5:F48"/>
  <sheetViews>
    <sheetView topLeftCell="A15" workbookViewId="0">
      <selection activeCell="F30" sqref="F30"/>
    </sheetView>
  </sheetViews>
  <sheetFormatPr baseColWidth="10" defaultColWidth="11.42578125" defaultRowHeight="15" x14ac:dyDescent="0.2"/>
  <cols>
    <col min="1" max="1" width="2.5703125" style="4" customWidth="1"/>
    <col min="2" max="2" width="36.5703125" style="4" customWidth="1"/>
    <col min="3" max="3" width="27.85546875" style="4" bestFit="1" customWidth="1"/>
    <col min="4" max="4" width="14.140625" style="4" bestFit="1" customWidth="1"/>
    <col min="5" max="5" width="12.140625" style="4" bestFit="1" customWidth="1"/>
    <col min="6" max="6" width="17" style="4" bestFit="1" customWidth="1"/>
    <col min="7" max="16384" width="11.42578125" style="4"/>
  </cols>
  <sheetData>
    <row r="5" spans="2:6" ht="21.75" customHeight="1" x14ac:dyDescent="0.25">
      <c r="B5" s="632" t="s">
        <v>321</v>
      </c>
      <c r="C5" s="632"/>
      <c r="D5" s="632"/>
      <c r="E5" s="632"/>
      <c r="F5" s="632"/>
    </row>
    <row r="6" spans="2:6" ht="21.75" customHeight="1" x14ac:dyDescent="0.25">
      <c r="B6" s="632" t="s">
        <v>223</v>
      </c>
      <c r="C6" s="632"/>
      <c r="D6" s="632"/>
      <c r="E6" s="632"/>
      <c r="F6" s="632"/>
    </row>
    <row r="7" spans="2:6" ht="21.75" customHeight="1" x14ac:dyDescent="0.25">
      <c r="B7" s="632" t="s">
        <v>326</v>
      </c>
      <c r="C7" s="632"/>
      <c r="D7" s="632"/>
      <c r="E7" s="632"/>
      <c r="F7" s="632"/>
    </row>
    <row r="8" spans="2:6" ht="21.75" customHeight="1" x14ac:dyDescent="0.25">
      <c r="B8" s="662">
        <v>45930</v>
      </c>
      <c r="C8" s="662"/>
      <c r="D8" s="662"/>
      <c r="E8" s="662"/>
      <c r="F8" s="662"/>
    </row>
    <row r="10" spans="2:6" ht="18" customHeight="1" x14ac:dyDescent="0.2">
      <c r="B10" s="663" t="s">
        <v>805</v>
      </c>
      <c r="C10" s="663"/>
      <c r="D10" s="663"/>
      <c r="E10" s="663"/>
      <c r="F10" s="663"/>
    </row>
    <row r="11" spans="2:6" ht="18" customHeight="1" x14ac:dyDescent="0.25">
      <c r="B11" s="625" t="s">
        <v>741</v>
      </c>
      <c r="C11" s="625"/>
      <c r="D11" s="625"/>
      <c r="E11" s="625"/>
      <c r="F11" s="625"/>
    </row>
    <row r="12" spans="2:6" ht="18" customHeight="1" x14ac:dyDescent="0.2">
      <c r="B12" s="664" t="s">
        <v>406</v>
      </c>
      <c r="C12" s="664"/>
      <c r="D12" s="664"/>
      <c r="E12" s="664"/>
      <c r="F12" s="664"/>
    </row>
    <row r="13" spans="2:6" ht="15.75" thickBot="1" x14ac:dyDescent="0.25"/>
    <row r="14" spans="2:6" ht="16.5" thickBot="1" x14ac:dyDescent="0.3">
      <c r="B14" s="257" t="s">
        <v>293</v>
      </c>
      <c r="C14" s="258"/>
      <c r="D14" s="258" t="s">
        <v>374</v>
      </c>
      <c r="E14" s="258"/>
      <c r="F14" s="259" t="s">
        <v>338</v>
      </c>
    </row>
    <row r="15" spans="2:6" ht="20.25" customHeight="1" x14ac:dyDescent="0.35">
      <c r="B15" s="260" t="s">
        <v>406</v>
      </c>
      <c r="C15" s="261"/>
      <c r="D15" s="262" t="s">
        <v>376</v>
      </c>
      <c r="E15" s="261"/>
      <c r="F15" s="263">
        <v>1475000</v>
      </c>
    </row>
    <row r="16" spans="2:6" ht="18.75" thickBot="1" x14ac:dyDescent="0.45">
      <c r="B16" s="264" t="s">
        <v>286</v>
      </c>
      <c r="C16" s="265"/>
      <c r="D16" s="265"/>
      <c r="E16" s="265"/>
      <c r="F16" s="266">
        <f>SUM(F15:F15)</f>
        <v>1475000</v>
      </c>
    </row>
    <row r="17" spans="2:6" ht="15.75" thickBot="1" x14ac:dyDescent="0.25"/>
    <row r="18" spans="2:6" ht="16.5" thickBot="1" x14ac:dyDescent="0.3">
      <c r="B18" s="257" t="s">
        <v>291</v>
      </c>
      <c r="C18" s="258" t="s">
        <v>377</v>
      </c>
      <c r="D18" s="258"/>
      <c r="E18" s="258" t="s">
        <v>378</v>
      </c>
      <c r="F18" s="259" t="s">
        <v>292</v>
      </c>
    </row>
    <row r="19" spans="2:6" x14ac:dyDescent="0.2">
      <c r="B19" s="267" t="s">
        <v>379</v>
      </c>
      <c r="C19" s="292" t="s">
        <v>806</v>
      </c>
      <c r="D19" s="284"/>
      <c r="E19" s="285">
        <v>45887</v>
      </c>
      <c r="F19" s="286">
        <f>+F16</f>
        <v>1475000</v>
      </c>
    </row>
    <row r="20" spans="2:6" ht="18" thickBot="1" x14ac:dyDescent="0.4">
      <c r="B20" s="287"/>
      <c r="C20" s="288"/>
      <c r="D20" s="288"/>
      <c r="E20" s="289"/>
      <c r="F20" s="290"/>
    </row>
    <row r="22" spans="2:6" ht="15.75" x14ac:dyDescent="0.25">
      <c r="B22" s="293" t="s">
        <v>354</v>
      </c>
      <c r="C22" s="293"/>
      <c r="D22" s="293"/>
      <c r="E22" s="293"/>
      <c r="F22" s="294">
        <f>+F19/12</f>
        <v>122916.66666666667</v>
      </c>
    </row>
    <row r="23" spans="2:6" x14ac:dyDescent="0.2">
      <c r="F23" s="29"/>
    </row>
    <row r="24" spans="2:6" x14ac:dyDescent="0.2">
      <c r="B24" s="5" t="s">
        <v>807</v>
      </c>
      <c r="C24" s="5" t="s">
        <v>391</v>
      </c>
      <c r="D24" s="29">
        <f>+F22</f>
        <v>122916.66666666667</v>
      </c>
      <c r="E24" s="57" t="s">
        <v>392</v>
      </c>
      <c r="F24" s="29">
        <f>+F22*5</f>
        <v>614583.33333333337</v>
      </c>
    </row>
    <row r="25" spans="2:6" x14ac:dyDescent="0.2">
      <c r="B25" s="5"/>
      <c r="C25" s="5"/>
      <c r="D25" s="29"/>
      <c r="E25" s="5"/>
      <c r="F25" s="29"/>
    </row>
    <row r="26" spans="2:6" x14ac:dyDescent="0.2">
      <c r="B26" s="5" t="s">
        <v>808</v>
      </c>
      <c r="C26" s="5" t="s">
        <v>394</v>
      </c>
      <c r="D26" s="29">
        <f>+F22</f>
        <v>122916.66666666667</v>
      </c>
      <c r="E26" s="57" t="s">
        <v>407</v>
      </c>
      <c r="F26" s="29">
        <f>+F19-F24</f>
        <v>860416.66666666663</v>
      </c>
    </row>
    <row r="27" spans="2:6" x14ac:dyDescent="0.2">
      <c r="C27" s="5"/>
      <c r="D27" s="29"/>
    </row>
    <row r="28" spans="2:6" x14ac:dyDescent="0.2">
      <c r="C28" s="5"/>
      <c r="D28" s="29"/>
    </row>
    <row r="29" spans="2:6" x14ac:dyDescent="0.2">
      <c r="B29" s="4" t="s">
        <v>665</v>
      </c>
      <c r="C29" s="5"/>
      <c r="D29" s="29"/>
      <c r="F29" s="29">
        <v>122916.66666666667</v>
      </c>
    </row>
    <row r="30" spans="2:6" ht="17.25" x14ac:dyDescent="0.35">
      <c r="B30" s="30" t="s">
        <v>666</v>
      </c>
      <c r="C30" s="5"/>
      <c r="D30" s="29"/>
      <c r="F30" s="275">
        <v>122916.66666666667</v>
      </c>
    </row>
    <row r="31" spans="2:6" hidden="1" x14ac:dyDescent="0.2">
      <c r="B31" s="4" t="s">
        <v>667</v>
      </c>
      <c r="C31" s="24"/>
      <c r="D31" s="24"/>
      <c r="E31" s="24"/>
      <c r="F31" s="29"/>
    </row>
    <row r="32" spans="2:6" hidden="1" x14ac:dyDescent="0.2">
      <c r="B32" s="4" t="s">
        <v>668</v>
      </c>
      <c r="C32" s="24"/>
      <c r="D32" s="24"/>
      <c r="E32" s="24"/>
      <c r="F32" s="29"/>
    </row>
    <row r="33" spans="2:6" hidden="1" x14ac:dyDescent="0.2">
      <c r="B33" s="4" t="s">
        <v>669</v>
      </c>
      <c r="C33" s="30"/>
      <c r="D33" s="30"/>
      <c r="E33" s="30"/>
      <c r="F33" s="29"/>
    </row>
    <row r="34" spans="2:6" hidden="1" x14ac:dyDescent="0.2">
      <c r="B34" s="4" t="s">
        <v>670</v>
      </c>
      <c r="C34" s="30"/>
      <c r="D34" s="30"/>
      <c r="E34" s="30"/>
      <c r="F34" s="29"/>
    </row>
    <row r="35" spans="2:6" hidden="1" x14ac:dyDescent="0.2">
      <c r="B35" s="4" t="s">
        <v>723</v>
      </c>
      <c r="C35" s="30"/>
      <c r="D35" s="30"/>
      <c r="E35" s="30"/>
      <c r="F35" s="29"/>
    </row>
    <row r="36" spans="2:6" hidden="1" x14ac:dyDescent="0.2">
      <c r="B36" s="4" t="s">
        <v>809</v>
      </c>
      <c r="C36" s="24"/>
      <c r="D36" s="24"/>
      <c r="E36" s="24"/>
      <c r="F36" s="29"/>
    </row>
    <row r="37" spans="2:6" hidden="1" x14ac:dyDescent="0.2">
      <c r="B37" s="4" t="s">
        <v>810</v>
      </c>
      <c r="C37" s="24"/>
      <c r="D37" s="24"/>
      <c r="E37" s="24"/>
      <c r="F37" s="29"/>
    </row>
    <row r="38" spans="2:6" hidden="1" x14ac:dyDescent="0.2">
      <c r="B38" s="4" t="s">
        <v>811</v>
      </c>
      <c r="C38" s="24"/>
      <c r="D38" s="24"/>
      <c r="E38" s="24"/>
      <c r="F38" s="29"/>
    </row>
    <row r="39" spans="2:6" hidden="1" x14ac:dyDescent="0.2">
      <c r="B39" s="4" t="s">
        <v>812</v>
      </c>
      <c r="C39" s="24"/>
      <c r="D39" s="24"/>
      <c r="E39" s="24"/>
      <c r="F39" s="29"/>
    </row>
    <row r="40" spans="2:6" ht="17.25" hidden="1" x14ac:dyDescent="0.35">
      <c r="B40" s="4" t="s">
        <v>813</v>
      </c>
      <c r="C40" s="24"/>
      <c r="D40" s="24"/>
      <c r="E40" s="24"/>
      <c r="F40" s="275"/>
    </row>
    <row r="41" spans="2:6" hidden="1" x14ac:dyDescent="0.2">
      <c r="B41" s="24" t="s">
        <v>521</v>
      </c>
      <c r="F41" s="29"/>
    </row>
    <row r="42" spans="2:6" ht="15.75" x14ac:dyDescent="0.25">
      <c r="B42" s="209" t="s">
        <v>108</v>
      </c>
      <c r="C42" s="24"/>
      <c r="D42" s="24"/>
      <c r="E42" s="24"/>
      <c r="F42" s="291">
        <f>SUM(F29:F41)+0</f>
        <v>245833.33333333334</v>
      </c>
    </row>
    <row r="43" spans="2:6" x14ac:dyDescent="0.2">
      <c r="B43" s="24"/>
      <c r="C43" s="24"/>
      <c r="D43" s="24"/>
      <c r="E43" s="24"/>
      <c r="F43" s="274"/>
    </row>
    <row r="44" spans="2:6" ht="18" x14ac:dyDescent="0.4">
      <c r="B44" s="209" t="s">
        <v>371</v>
      </c>
      <c r="C44" s="209"/>
      <c r="D44" s="209"/>
      <c r="E44" s="209"/>
      <c r="F44" s="277">
        <f>+F16-F42</f>
        <v>1229166.6666666667</v>
      </c>
    </row>
    <row r="45" spans="2:6" x14ac:dyDescent="0.2">
      <c r="B45" s="24"/>
      <c r="C45" s="24"/>
      <c r="D45" s="24"/>
      <c r="E45" s="24"/>
      <c r="F45" s="274"/>
    </row>
    <row r="48" spans="2:6" x14ac:dyDescent="0.2">
      <c r="F48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1FF52-5988-4C72-9C49-0BCD245B7714}">
  <sheetPr codeName="Hoja21"/>
  <dimension ref="B5:I50"/>
  <sheetViews>
    <sheetView topLeftCell="A24" workbookViewId="0">
      <selection activeCell="F45" sqref="F45"/>
    </sheetView>
  </sheetViews>
  <sheetFormatPr baseColWidth="10" defaultColWidth="11.42578125" defaultRowHeight="15" x14ac:dyDescent="0.2"/>
  <cols>
    <col min="1" max="1" width="2.5703125" style="4" customWidth="1"/>
    <col min="2" max="2" width="33" style="4" bestFit="1" customWidth="1"/>
    <col min="3" max="3" width="15.28515625" style="4" customWidth="1"/>
    <col min="4" max="4" width="14.7109375" style="4" customWidth="1"/>
    <col min="5" max="5" width="11.42578125" style="4"/>
    <col min="6" max="6" width="16" style="4" bestFit="1" customWidth="1"/>
    <col min="7" max="16384" width="11.42578125" style="4"/>
  </cols>
  <sheetData>
    <row r="5" spans="2:9" ht="15.75" x14ac:dyDescent="0.25">
      <c r="B5" s="632" t="s">
        <v>321</v>
      </c>
      <c r="C5" s="632"/>
      <c r="D5" s="632"/>
      <c r="E5" s="632"/>
      <c r="F5" s="632"/>
    </row>
    <row r="6" spans="2:9" ht="15.75" x14ac:dyDescent="0.25">
      <c r="B6" s="632" t="s">
        <v>223</v>
      </c>
      <c r="C6" s="632"/>
      <c r="D6" s="632"/>
      <c r="E6" s="632"/>
      <c r="F6" s="632"/>
    </row>
    <row r="7" spans="2:9" ht="15.75" x14ac:dyDescent="0.25">
      <c r="B7" s="632" t="s">
        <v>408</v>
      </c>
      <c r="C7" s="632"/>
      <c r="D7" s="632"/>
      <c r="E7" s="632"/>
      <c r="F7" s="632"/>
    </row>
    <row r="8" spans="2:9" ht="15.75" x14ac:dyDescent="0.25">
      <c r="B8" s="662">
        <v>45930</v>
      </c>
      <c r="C8" s="662"/>
      <c r="D8" s="662"/>
      <c r="E8" s="662"/>
      <c r="F8" s="662"/>
    </row>
    <row r="10" spans="2:9" x14ac:dyDescent="0.2">
      <c r="B10" s="625" t="s">
        <v>652</v>
      </c>
      <c r="C10" s="625"/>
      <c r="D10" s="625"/>
      <c r="E10" s="625"/>
      <c r="F10" s="625"/>
    </row>
    <row r="11" spans="2:9" ht="15.75" x14ac:dyDescent="0.25">
      <c r="B11" s="625" t="s">
        <v>752</v>
      </c>
      <c r="C11" s="625"/>
      <c r="D11" s="625"/>
      <c r="E11" s="625"/>
      <c r="F11" s="625"/>
    </row>
    <row r="12" spans="2:9" ht="15.75" x14ac:dyDescent="0.25">
      <c r="B12" s="632" t="s">
        <v>653</v>
      </c>
      <c r="C12" s="632"/>
      <c r="D12" s="632"/>
      <c r="E12" s="632"/>
      <c r="F12" s="632"/>
      <c r="I12" s="296"/>
    </row>
    <row r="13" spans="2:9" ht="15.75" thickBot="1" x14ac:dyDescent="0.25">
      <c r="I13" s="15"/>
    </row>
    <row r="14" spans="2:9" ht="16.5" thickBot="1" x14ac:dyDescent="0.3">
      <c r="B14" s="257" t="s">
        <v>293</v>
      </c>
      <c r="C14" s="258" t="s">
        <v>377</v>
      </c>
      <c r="D14" s="258" t="s">
        <v>374</v>
      </c>
      <c r="E14" s="258"/>
      <c r="F14" s="259" t="s">
        <v>338</v>
      </c>
      <c r="I14" s="15"/>
    </row>
    <row r="15" spans="2:9" ht="17.25" x14ac:dyDescent="0.35">
      <c r="B15" s="260" t="s">
        <v>654</v>
      </c>
      <c r="C15" s="297" t="s">
        <v>656</v>
      </c>
      <c r="D15" s="262" t="s">
        <v>376</v>
      </c>
      <c r="E15" s="261"/>
      <c r="F15" s="263">
        <v>273814.42</v>
      </c>
    </row>
    <row r="16" spans="2:9" ht="18.75" thickBot="1" x14ac:dyDescent="0.45">
      <c r="B16" s="264" t="s">
        <v>286</v>
      </c>
      <c r="C16" s="265"/>
      <c r="D16" s="265"/>
      <c r="E16" s="265"/>
      <c r="F16" s="266">
        <f>SUM(F15:F15)</f>
        <v>273814.42</v>
      </c>
    </row>
    <row r="17" spans="2:6" ht="15.75" thickBot="1" x14ac:dyDescent="0.25"/>
    <row r="18" spans="2:6" ht="16.5" thickBot="1" x14ac:dyDescent="0.3">
      <c r="B18" s="257" t="s">
        <v>291</v>
      </c>
      <c r="C18" s="258" t="s">
        <v>377</v>
      </c>
      <c r="D18" s="258" t="s">
        <v>673</v>
      </c>
      <c r="E18" s="258" t="s">
        <v>378</v>
      </c>
      <c r="F18" s="259" t="s">
        <v>292</v>
      </c>
    </row>
    <row r="19" spans="2:6" x14ac:dyDescent="0.2">
      <c r="B19" s="267" t="s">
        <v>655</v>
      </c>
      <c r="C19" s="298" t="s">
        <v>409</v>
      </c>
      <c r="D19" s="262">
        <v>40027</v>
      </c>
      <c r="E19" s="299" t="s">
        <v>672</v>
      </c>
      <c r="F19" s="269">
        <f>+F16</f>
        <v>273814.42</v>
      </c>
    </row>
    <row r="21" spans="2:6" x14ac:dyDescent="0.2">
      <c r="B21" s="251" t="s">
        <v>354</v>
      </c>
      <c r="C21" s="251"/>
      <c r="D21" s="251"/>
      <c r="E21" s="251"/>
      <c r="F21" s="252">
        <f>+F19/12</f>
        <v>22817.868333333332</v>
      </c>
    </row>
    <row r="22" spans="2:6" x14ac:dyDescent="0.2">
      <c r="F22" s="29"/>
    </row>
    <row r="23" spans="2:6" x14ac:dyDescent="0.2">
      <c r="B23" s="5" t="s">
        <v>657</v>
      </c>
      <c r="C23" s="5" t="s">
        <v>658</v>
      </c>
      <c r="D23" s="29">
        <f>+F21</f>
        <v>22817.868333333332</v>
      </c>
      <c r="E23" s="57" t="s">
        <v>380</v>
      </c>
      <c r="F23" s="29">
        <f>+F21*10</f>
        <v>228178.68333333332</v>
      </c>
    </row>
    <row r="24" spans="2:6" x14ac:dyDescent="0.2">
      <c r="B24" s="5"/>
      <c r="C24" s="5"/>
      <c r="D24" s="29"/>
      <c r="E24" s="5"/>
      <c r="F24" s="29"/>
    </row>
    <row r="25" spans="2:6" x14ac:dyDescent="0.2">
      <c r="B25" s="5" t="s">
        <v>659</v>
      </c>
      <c r="C25" s="5" t="s">
        <v>381</v>
      </c>
      <c r="D25" s="29">
        <f>+F21</f>
        <v>22817.868333333332</v>
      </c>
      <c r="E25" s="57" t="s">
        <v>382</v>
      </c>
      <c r="F25" s="29">
        <f>+F19-F23</f>
        <v>45635.736666666664</v>
      </c>
    </row>
    <row r="26" spans="2:6" x14ac:dyDescent="0.2">
      <c r="C26" s="5"/>
      <c r="D26" s="29"/>
    </row>
    <row r="27" spans="2:6" x14ac:dyDescent="0.2">
      <c r="C27" s="5"/>
      <c r="D27" s="29"/>
    </row>
    <row r="28" spans="2:6" x14ac:dyDescent="0.2">
      <c r="C28" s="5"/>
      <c r="D28" s="29"/>
    </row>
    <row r="29" spans="2:6" x14ac:dyDescent="0.2">
      <c r="C29" s="24"/>
      <c r="D29" s="24"/>
      <c r="E29" s="24"/>
      <c r="F29" s="29"/>
    </row>
    <row r="30" spans="2:6" x14ac:dyDescent="0.2">
      <c r="B30" s="4" t="s">
        <v>660</v>
      </c>
      <c r="C30" s="30"/>
      <c r="D30" s="30"/>
      <c r="E30" s="30"/>
      <c r="F30" s="29">
        <f>+F21+0.01</f>
        <v>22817.87833333333</v>
      </c>
    </row>
    <row r="31" spans="2:6" x14ac:dyDescent="0.2">
      <c r="B31" s="4" t="s">
        <v>661</v>
      </c>
      <c r="C31" s="30"/>
      <c r="D31" s="30"/>
      <c r="E31" s="30"/>
      <c r="F31" s="29">
        <v>22817.87833333333</v>
      </c>
    </row>
    <row r="32" spans="2:6" x14ac:dyDescent="0.2">
      <c r="B32" s="24" t="s">
        <v>662</v>
      </c>
      <c r="C32" s="30"/>
      <c r="D32" s="30"/>
      <c r="E32" s="30"/>
      <c r="F32" s="29">
        <v>22817.87833333333</v>
      </c>
    </row>
    <row r="33" spans="2:6" x14ac:dyDescent="0.2">
      <c r="B33" s="4" t="s">
        <v>663</v>
      </c>
      <c r="C33" s="30"/>
      <c r="D33" s="30"/>
      <c r="E33" s="30"/>
      <c r="F33" s="29">
        <v>22817.87833333333</v>
      </c>
    </row>
    <row r="34" spans="2:6" x14ac:dyDescent="0.2">
      <c r="B34" s="4" t="s">
        <v>664</v>
      </c>
      <c r="C34" s="24"/>
      <c r="D34" s="24"/>
      <c r="E34" s="24"/>
      <c r="F34" s="29">
        <v>22817.87833333333</v>
      </c>
    </row>
    <row r="35" spans="2:6" x14ac:dyDescent="0.2">
      <c r="B35" s="4" t="s">
        <v>665</v>
      </c>
      <c r="C35" s="24"/>
      <c r="D35" s="24"/>
      <c r="E35" s="24"/>
      <c r="F35" s="29">
        <v>22817.87833333333</v>
      </c>
    </row>
    <row r="36" spans="2:6" ht="17.25" x14ac:dyDescent="0.35">
      <c r="B36" s="30" t="s">
        <v>666</v>
      </c>
      <c r="C36" s="24"/>
      <c r="D36" s="24"/>
      <c r="E36" s="24"/>
      <c r="F36" s="275">
        <v>22817.87833333333</v>
      </c>
    </row>
    <row r="37" spans="2:6" hidden="1" x14ac:dyDescent="0.2">
      <c r="B37" s="24" t="s">
        <v>667</v>
      </c>
      <c r="C37" s="24"/>
      <c r="D37" s="24"/>
      <c r="E37" s="24"/>
      <c r="F37" s="29"/>
    </row>
    <row r="38" spans="2:6" hidden="1" x14ac:dyDescent="0.2">
      <c r="B38" s="24" t="s">
        <v>668</v>
      </c>
      <c r="C38" s="24"/>
      <c r="D38" s="24"/>
      <c r="E38" s="24"/>
      <c r="F38" s="29"/>
    </row>
    <row r="39" spans="2:6" hidden="1" x14ac:dyDescent="0.2">
      <c r="B39" s="24" t="s">
        <v>669</v>
      </c>
      <c r="F39" s="29"/>
    </row>
    <row r="40" spans="2:6" hidden="1" x14ac:dyDescent="0.2">
      <c r="B40" s="4" t="s">
        <v>670</v>
      </c>
      <c r="C40" s="24"/>
      <c r="D40" s="24"/>
      <c r="E40" s="24"/>
      <c r="F40" s="29"/>
    </row>
    <row r="41" spans="2:6" ht="17.25" hidden="1" x14ac:dyDescent="0.35">
      <c r="B41" s="4" t="s">
        <v>671</v>
      </c>
      <c r="C41" s="24"/>
      <c r="D41" s="24"/>
      <c r="E41" s="24"/>
      <c r="F41" s="164"/>
    </row>
    <row r="42" spans="2:6" ht="24" customHeight="1" x14ac:dyDescent="0.25">
      <c r="B42" s="209" t="s">
        <v>108</v>
      </c>
      <c r="C42" s="24"/>
      <c r="D42" s="24"/>
      <c r="E42" s="24"/>
      <c r="F42" s="291">
        <f>SUM(F29:F41)</f>
        <v>159725.14833333332</v>
      </c>
    </row>
    <row r="43" spans="2:6" ht="29.25" customHeight="1" thickBot="1" x14ac:dyDescent="0.3">
      <c r="B43" s="40" t="s">
        <v>410</v>
      </c>
      <c r="F43" s="295">
        <f>+F16-F42</f>
        <v>114089.27166666667</v>
      </c>
    </row>
    <row r="44" spans="2:6" ht="15.75" thickTop="1" x14ac:dyDescent="0.2"/>
    <row r="47" spans="2:6" x14ac:dyDescent="0.2">
      <c r="F47" s="21"/>
    </row>
    <row r="48" spans="2:6" x14ac:dyDescent="0.2">
      <c r="F48" s="21"/>
    </row>
    <row r="49" spans="6:6" x14ac:dyDescent="0.2">
      <c r="F49" s="21"/>
    </row>
    <row r="50" spans="6:6" x14ac:dyDescent="0.2">
      <c r="F50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51181102362204722" right="0.51181102362204722" top="0.74803149606299213" bottom="0.74803149606299213" header="0.31496062992125984" footer="0.31496062992125984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96FD-A52D-4C43-9752-E743EDB76B5A}">
  <sheetPr codeName="Hoja22">
    <pageSetUpPr fitToPage="1"/>
  </sheetPr>
  <dimension ref="B5:I50"/>
  <sheetViews>
    <sheetView topLeftCell="A20" workbookViewId="0">
      <selection activeCell="B31" sqref="B31"/>
    </sheetView>
  </sheetViews>
  <sheetFormatPr baseColWidth="10" defaultColWidth="11.42578125" defaultRowHeight="15" x14ac:dyDescent="0.2"/>
  <cols>
    <col min="1" max="1" width="2.5703125" style="4" customWidth="1"/>
    <col min="2" max="2" width="33" style="4" bestFit="1" customWidth="1"/>
    <col min="3" max="3" width="15.28515625" style="4" customWidth="1"/>
    <col min="4" max="4" width="14.7109375" style="4" customWidth="1"/>
    <col min="5" max="5" width="11.42578125" style="4"/>
    <col min="6" max="6" width="16" style="4" bestFit="1" customWidth="1"/>
    <col min="7" max="7" width="11.42578125" style="4"/>
    <col min="8" max="8" width="12.7109375" style="4" bestFit="1" customWidth="1"/>
    <col min="9" max="9" width="12.85546875" style="4" bestFit="1" customWidth="1"/>
    <col min="10" max="16384" width="11.42578125" style="4"/>
  </cols>
  <sheetData>
    <row r="5" spans="2:9" ht="15.75" x14ac:dyDescent="0.25">
      <c r="B5" s="632" t="s">
        <v>321</v>
      </c>
      <c r="C5" s="632"/>
      <c r="D5" s="632"/>
      <c r="E5" s="632"/>
      <c r="F5" s="632"/>
    </row>
    <row r="6" spans="2:9" ht="15.75" x14ac:dyDescent="0.25">
      <c r="B6" s="632" t="s">
        <v>223</v>
      </c>
      <c r="C6" s="632"/>
      <c r="D6" s="632"/>
      <c r="E6" s="632"/>
      <c r="F6" s="632"/>
    </row>
    <row r="7" spans="2:9" ht="15.75" x14ac:dyDescent="0.25">
      <c r="B7" s="632" t="s">
        <v>408</v>
      </c>
      <c r="C7" s="632"/>
      <c r="D7" s="632"/>
      <c r="E7" s="632"/>
      <c r="F7" s="632"/>
    </row>
    <row r="8" spans="2:9" ht="15.75" x14ac:dyDescent="0.25">
      <c r="B8" s="662">
        <v>45930</v>
      </c>
      <c r="C8" s="662"/>
      <c r="D8" s="662"/>
      <c r="E8" s="662"/>
      <c r="F8" s="662"/>
    </row>
    <row r="10" spans="2:9" x14ac:dyDescent="0.2">
      <c r="B10" s="625" t="s">
        <v>652</v>
      </c>
      <c r="C10" s="625"/>
      <c r="D10" s="625"/>
      <c r="E10" s="625"/>
      <c r="F10" s="625"/>
    </row>
    <row r="11" spans="2:9" ht="15.75" x14ac:dyDescent="0.25">
      <c r="B11" s="625" t="s">
        <v>814</v>
      </c>
      <c r="C11" s="625"/>
      <c r="D11" s="625"/>
      <c r="E11" s="625"/>
      <c r="F11" s="625"/>
    </row>
    <row r="12" spans="2:9" ht="15.75" x14ac:dyDescent="0.25">
      <c r="B12" s="665" t="s">
        <v>826</v>
      </c>
      <c r="C12" s="665"/>
      <c r="D12" s="665"/>
      <c r="E12" s="665"/>
      <c r="F12" s="665"/>
      <c r="I12" s="296"/>
    </row>
    <row r="13" spans="2:9" ht="15.75" thickBot="1" x14ac:dyDescent="0.25">
      <c r="I13" s="15"/>
    </row>
    <row r="14" spans="2:9" ht="16.5" thickBot="1" x14ac:dyDescent="0.3">
      <c r="B14" s="257" t="s">
        <v>293</v>
      </c>
      <c r="C14" s="258" t="s">
        <v>377</v>
      </c>
      <c r="D14" s="258" t="s">
        <v>374</v>
      </c>
      <c r="E14" s="258"/>
      <c r="F14" s="259" t="s">
        <v>338</v>
      </c>
      <c r="I14" s="15"/>
    </row>
    <row r="15" spans="2:9" ht="17.25" x14ac:dyDescent="0.35">
      <c r="B15" s="260" t="s">
        <v>815</v>
      </c>
      <c r="C15" s="508" t="s">
        <v>816</v>
      </c>
      <c r="D15" s="262" t="s">
        <v>376</v>
      </c>
      <c r="E15" s="261"/>
      <c r="F15" s="263">
        <v>374814</v>
      </c>
      <c r="H15" s="26">
        <v>374814</v>
      </c>
    </row>
    <row r="16" spans="2:9" ht="18.75" thickBot="1" x14ac:dyDescent="0.45">
      <c r="B16" s="264" t="s">
        <v>286</v>
      </c>
      <c r="C16" s="265"/>
      <c r="D16" s="265"/>
      <c r="E16" s="265"/>
      <c r="F16" s="266">
        <f>SUM(F15:F15)</f>
        <v>374814</v>
      </c>
      <c r="H16" s="26">
        <v>374814</v>
      </c>
    </row>
    <row r="17" spans="2:9" ht="15.75" thickBot="1" x14ac:dyDescent="0.25">
      <c r="H17" s="21">
        <f>+H15-F15</f>
        <v>0</v>
      </c>
    </row>
    <row r="18" spans="2:9" ht="16.5" thickBot="1" x14ac:dyDescent="0.3">
      <c r="B18" s="257" t="s">
        <v>291</v>
      </c>
      <c r="C18" s="258" t="s">
        <v>377</v>
      </c>
      <c r="D18" s="258" t="s">
        <v>673</v>
      </c>
      <c r="E18" s="258" t="s">
        <v>378</v>
      </c>
      <c r="F18" s="259" t="s">
        <v>292</v>
      </c>
    </row>
    <row r="19" spans="2:9" x14ac:dyDescent="0.2">
      <c r="B19" s="267" t="s">
        <v>817</v>
      </c>
      <c r="C19" s="298" t="s">
        <v>409</v>
      </c>
      <c r="D19" s="262">
        <v>40027</v>
      </c>
      <c r="E19" s="299" t="s">
        <v>818</v>
      </c>
      <c r="F19" s="269">
        <f>+F16</f>
        <v>374814</v>
      </c>
    </row>
    <row r="20" spans="2:9" x14ac:dyDescent="0.2">
      <c r="I20" s="21"/>
    </row>
    <row r="21" spans="2:9" x14ac:dyDescent="0.2">
      <c r="B21" s="251" t="s">
        <v>354</v>
      </c>
      <c r="C21" s="251"/>
      <c r="D21" s="251"/>
      <c r="E21" s="251"/>
      <c r="F21" s="252">
        <f>+F19/12</f>
        <v>31234.5</v>
      </c>
      <c r="I21" s="29"/>
    </row>
    <row r="22" spans="2:9" x14ac:dyDescent="0.2">
      <c r="F22" s="29"/>
      <c r="I22" s="21"/>
    </row>
    <row r="23" spans="2:9" x14ac:dyDescent="0.2">
      <c r="B23" s="5" t="s">
        <v>807</v>
      </c>
      <c r="C23" s="5" t="s">
        <v>819</v>
      </c>
      <c r="D23" s="29">
        <f>+F21</f>
        <v>31234.5</v>
      </c>
      <c r="E23" s="57" t="s">
        <v>392</v>
      </c>
      <c r="F23" s="29">
        <f>+F21*5</f>
        <v>156172.5</v>
      </c>
    </row>
    <row r="24" spans="2:9" x14ac:dyDescent="0.2">
      <c r="B24" s="5"/>
      <c r="C24" s="5"/>
      <c r="D24" s="29"/>
      <c r="E24" s="5"/>
      <c r="F24" s="29"/>
    </row>
    <row r="25" spans="2:9" x14ac:dyDescent="0.2">
      <c r="B25" s="5" t="s">
        <v>820</v>
      </c>
      <c r="C25" s="5" t="s">
        <v>394</v>
      </c>
      <c r="D25" s="29">
        <f>+F21</f>
        <v>31234.5</v>
      </c>
      <c r="E25" s="57" t="s">
        <v>382</v>
      </c>
      <c r="F25" s="29">
        <f>+F19-F23</f>
        <v>218641.5</v>
      </c>
    </row>
    <row r="26" spans="2:9" x14ac:dyDescent="0.2">
      <c r="C26" s="5"/>
      <c r="D26" s="29"/>
    </row>
    <row r="27" spans="2:9" x14ac:dyDescent="0.2">
      <c r="C27" s="5"/>
      <c r="D27" s="29"/>
    </row>
    <row r="28" spans="2:9" x14ac:dyDescent="0.2">
      <c r="C28" s="5"/>
      <c r="D28" s="29"/>
    </row>
    <row r="29" spans="2:9" x14ac:dyDescent="0.2">
      <c r="C29" s="24"/>
      <c r="D29" s="24"/>
      <c r="E29" s="24"/>
      <c r="F29" s="29"/>
    </row>
    <row r="30" spans="2:9" x14ac:dyDescent="0.2">
      <c r="B30" s="4" t="s">
        <v>665</v>
      </c>
      <c r="F30" s="29">
        <f>+F21+0.01</f>
        <v>31234.51</v>
      </c>
    </row>
    <row r="31" spans="2:9" ht="17.25" x14ac:dyDescent="0.35">
      <c r="B31" s="30" t="s">
        <v>666</v>
      </c>
      <c r="C31" s="30"/>
      <c r="D31" s="30"/>
      <c r="E31" s="30"/>
      <c r="F31" s="275">
        <v>31234.5</v>
      </c>
    </row>
    <row r="32" spans="2:9" hidden="1" x14ac:dyDescent="0.2">
      <c r="B32" s="24" t="s">
        <v>667</v>
      </c>
      <c r="C32" s="30"/>
      <c r="D32" s="30"/>
      <c r="E32" s="30"/>
      <c r="F32" s="29"/>
    </row>
    <row r="33" spans="2:6" hidden="1" x14ac:dyDescent="0.2">
      <c r="B33" s="24" t="s">
        <v>668</v>
      </c>
      <c r="C33" s="30"/>
      <c r="D33" s="30"/>
      <c r="E33" s="30"/>
      <c r="F33" s="29"/>
    </row>
    <row r="34" spans="2:6" hidden="1" x14ac:dyDescent="0.2">
      <c r="B34" s="24" t="s">
        <v>669</v>
      </c>
      <c r="C34" s="24"/>
      <c r="D34" s="24"/>
      <c r="E34" s="24"/>
      <c r="F34" s="29"/>
    </row>
    <row r="35" spans="2:6" ht="17.25" hidden="1" x14ac:dyDescent="0.35">
      <c r="B35" s="4" t="s">
        <v>670</v>
      </c>
      <c r="C35" s="24"/>
      <c r="D35" s="24"/>
      <c r="E35" s="24"/>
      <c r="F35" s="275"/>
    </row>
    <row r="36" spans="2:6" hidden="1" x14ac:dyDescent="0.2">
      <c r="B36" s="4" t="s">
        <v>671</v>
      </c>
      <c r="C36" s="24"/>
      <c r="D36" s="24"/>
      <c r="E36" s="24"/>
      <c r="F36" s="29"/>
    </row>
    <row r="37" spans="2:6" hidden="1" x14ac:dyDescent="0.2">
      <c r="B37" s="24" t="s">
        <v>724</v>
      </c>
      <c r="C37" s="24"/>
      <c r="D37" s="24"/>
      <c r="E37" s="24"/>
      <c r="F37" s="29"/>
    </row>
    <row r="38" spans="2:6" hidden="1" x14ac:dyDescent="0.2">
      <c r="B38" s="24" t="s">
        <v>821</v>
      </c>
      <c r="C38" s="24"/>
      <c r="D38" s="24"/>
      <c r="E38" s="24"/>
      <c r="F38" s="29"/>
    </row>
    <row r="39" spans="2:6" hidden="1" x14ac:dyDescent="0.2">
      <c r="B39" s="24" t="s">
        <v>822</v>
      </c>
      <c r="F39" s="29"/>
    </row>
    <row r="40" spans="2:6" hidden="1" x14ac:dyDescent="0.2">
      <c r="B40" s="4" t="s">
        <v>823</v>
      </c>
      <c r="C40" s="24"/>
      <c r="D40" s="24"/>
      <c r="E40" s="24"/>
      <c r="F40" s="29"/>
    </row>
    <row r="41" spans="2:6" ht="17.25" hidden="1" x14ac:dyDescent="0.35">
      <c r="B41" s="4" t="s">
        <v>824</v>
      </c>
      <c r="C41" s="24"/>
      <c r="D41" s="24"/>
      <c r="E41" s="24"/>
      <c r="F41" s="164"/>
    </row>
    <row r="42" spans="2:6" ht="24" customHeight="1" x14ac:dyDescent="0.25">
      <c r="B42" s="209" t="s">
        <v>108</v>
      </c>
      <c r="C42" s="24"/>
      <c r="D42" s="24"/>
      <c r="E42" s="24"/>
      <c r="F42" s="291">
        <f>SUM(F29:F41)</f>
        <v>62469.009999999995</v>
      </c>
    </row>
    <row r="43" spans="2:6" ht="29.25" customHeight="1" thickBot="1" x14ac:dyDescent="0.3">
      <c r="B43" s="40" t="s">
        <v>410</v>
      </c>
      <c r="F43" s="295">
        <f>+F16-F42</f>
        <v>312344.99</v>
      </c>
    </row>
    <row r="44" spans="2:6" ht="15.75" thickTop="1" x14ac:dyDescent="0.2"/>
    <row r="47" spans="2:6" x14ac:dyDescent="0.2">
      <c r="F47" s="21"/>
    </row>
    <row r="48" spans="2:6" x14ac:dyDescent="0.2">
      <c r="F48" s="21"/>
    </row>
    <row r="49" spans="6:6" x14ac:dyDescent="0.2">
      <c r="F49" s="21"/>
    </row>
    <row r="50" spans="6:6" x14ac:dyDescent="0.2">
      <c r="F50" s="21"/>
    </row>
  </sheetData>
  <mergeCells count="7">
    <mergeCell ref="B12:F12"/>
    <mergeCell ref="B5:F5"/>
    <mergeCell ref="B6:F6"/>
    <mergeCell ref="B7:F7"/>
    <mergeCell ref="B8:F8"/>
    <mergeCell ref="B10:F10"/>
    <mergeCell ref="B11:F11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3"/>
  <dimension ref="A3:O17"/>
  <sheetViews>
    <sheetView workbookViewId="0">
      <selection activeCell="A12" sqref="A12:B12"/>
    </sheetView>
  </sheetViews>
  <sheetFormatPr baseColWidth="10" defaultColWidth="11.5703125" defaultRowHeight="24.75" customHeight="1" x14ac:dyDescent="0.2"/>
  <cols>
    <col min="1" max="1" width="44.85546875" style="4" customWidth="1"/>
    <col min="2" max="2" width="24.42578125" style="4" customWidth="1"/>
    <col min="3" max="4" width="11.5703125" style="4"/>
    <col min="5" max="5" width="19.140625" style="4" customWidth="1"/>
    <col min="6" max="14" width="11.5703125" style="4"/>
    <col min="15" max="15" width="16.85546875" style="4" bestFit="1" customWidth="1"/>
    <col min="16" max="16384" width="11.5703125" style="4"/>
  </cols>
  <sheetData>
    <row r="3" spans="1:15" ht="24.75" customHeight="1" x14ac:dyDescent="0.25">
      <c r="A3" s="632" t="s">
        <v>411</v>
      </c>
      <c r="B3" s="632"/>
    </row>
    <row r="4" spans="1:15" ht="24.75" customHeight="1" x14ac:dyDescent="0.25">
      <c r="A4" s="632" t="s">
        <v>223</v>
      </c>
      <c r="B4" s="632"/>
    </row>
    <row r="5" spans="1:15" ht="24.75" customHeight="1" x14ac:dyDescent="0.25">
      <c r="A5" s="632" t="s">
        <v>412</v>
      </c>
      <c r="B5" s="632"/>
    </row>
    <row r="6" spans="1:15" ht="24.75" customHeight="1" x14ac:dyDescent="0.25">
      <c r="A6" s="648">
        <v>45930</v>
      </c>
      <c r="B6" s="648"/>
    </row>
    <row r="7" spans="1:15" ht="24.75" customHeight="1" thickBot="1" x14ac:dyDescent="0.3">
      <c r="A7" s="118"/>
      <c r="B7" s="118"/>
    </row>
    <row r="8" spans="1:15" ht="24.75" customHeight="1" thickBot="1" x14ac:dyDescent="0.3">
      <c r="A8" s="121" t="s">
        <v>413</v>
      </c>
      <c r="B8" s="123" t="s">
        <v>226</v>
      </c>
    </row>
    <row r="9" spans="1:15" ht="24.75" hidden="1" customHeight="1" x14ac:dyDescent="0.2">
      <c r="A9" s="124" t="s">
        <v>828</v>
      </c>
      <c r="B9" s="300">
        <v>0</v>
      </c>
    </row>
    <row r="10" spans="1:15" ht="24.75" hidden="1" customHeight="1" x14ac:dyDescent="0.35">
      <c r="A10" s="124" t="s">
        <v>757</v>
      </c>
      <c r="B10" s="301"/>
    </row>
    <row r="11" spans="1:15" ht="24.75" hidden="1" customHeight="1" x14ac:dyDescent="0.2">
      <c r="A11" s="127" t="s">
        <v>637</v>
      </c>
      <c r="B11" s="300">
        <v>0</v>
      </c>
    </row>
    <row r="12" spans="1:15" ht="24.75" customHeight="1" x14ac:dyDescent="0.35">
      <c r="A12" s="127"/>
      <c r="B12" s="301"/>
      <c r="O12" s="29"/>
    </row>
    <row r="13" spans="1:15" ht="24.75" customHeight="1" x14ac:dyDescent="0.4">
      <c r="A13" s="127"/>
      <c r="B13" s="302">
        <f>SUM(B9:B12)</f>
        <v>0</v>
      </c>
    </row>
    <row r="14" spans="1:15" ht="24.75" customHeight="1" thickBot="1" x14ac:dyDescent="0.25">
      <c r="A14" s="135"/>
      <c r="B14" s="303"/>
    </row>
    <row r="17" spans="2:2" ht="24.75" customHeight="1" x14ac:dyDescent="0.25">
      <c r="B17" s="511"/>
    </row>
  </sheetData>
  <mergeCells count="4">
    <mergeCell ref="A4:B4"/>
    <mergeCell ref="A3:B3"/>
    <mergeCell ref="A5:B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E765-175B-49EE-B8AA-77A40EDFAE4C}">
  <sheetPr codeName="Hoja24"/>
  <dimension ref="A6:H84"/>
  <sheetViews>
    <sheetView topLeftCell="A7" zoomScaleNormal="100" workbookViewId="0">
      <selection activeCell="E7" sqref="E7:F65"/>
    </sheetView>
  </sheetViews>
  <sheetFormatPr baseColWidth="10" defaultColWidth="11.42578125" defaultRowHeight="15" x14ac:dyDescent="0.2"/>
  <cols>
    <col min="1" max="1" width="27.42578125" style="4" customWidth="1"/>
    <col min="2" max="2" width="42.140625" style="4" customWidth="1"/>
    <col min="3" max="3" width="24.42578125" style="4" bestFit="1" customWidth="1"/>
    <col min="4" max="4" width="24.42578125" style="4" customWidth="1"/>
    <col min="5" max="5" width="10.85546875" style="4" customWidth="1"/>
    <col min="6" max="6" width="18.7109375" style="4" customWidth="1"/>
    <col min="7" max="16384" width="11.42578125" style="4"/>
  </cols>
  <sheetData>
    <row r="6" spans="1:8" ht="15.75" x14ac:dyDescent="0.25">
      <c r="H6" s="306" t="s">
        <v>630</v>
      </c>
    </row>
    <row r="7" spans="1:8" ht="20.25" customHeight="1" x14ac:dyDescent="0.25">
      <c r="A7" s="632" t="s">
        <v>414</v>
      </c>
      <c r="B7" s="632"/>
    </row>
    <row r="8" spans="1:8" ht="20.25" customHeight="1" x14ac:dyDescent="0.25">
      <c r="A8" s="632" t="s">
        <v>223</v>
      </c>
      <c r="B8" s="632"/>
    </row>
    <row r="9" spans="1:8" ht="28.9" customHeight="1" x14ac:dyDescent="0.25">
      <c r="A9" s="632" t="s">
        <v>415</v>
      </c>
      <c r="B9" s="632"/>
    </row>
    <row r="10" spans="1:8" ht="24" customHeight="1" x14ac:dyDescent="0.25">
      <c r="A10" s="648">
        <v>45930</v>
      </c>
      <c r="B10" s="648"/>
    </row>
    <row r="11" spans="1:8" ht="22.15" customHeight="1" thickBot="1" x14ac:dyDescent="0.25"/>
    <row r="12" spans="1:8" ht="29.25" customHeight="1" thickBot="1" x14ac:dyDescent="0.3">
      <c r="A12" s="121" t="s">
        <v>215</v>
      </c>
      <c r="B12" s="123" t="s">
        <v>226</v>
      </c>
      <c r="E12" s="305"/>
    </row>
    <row r="13" spans="1:8" ht="24.75" customHeight="1" x14ac:dyDescent="0.2">
      <c r="A13" s="218" t="s">
        <v>98</v>
      </c>
      <c r="B13" s="489">
        <f>+C49</f>
        <v>473156800</v>
      </c>
    </row>
    <row r="14" spans="1:8" ht="27" customHeight="1" x14ac:dyDescent="0.2">
      <c r="A14" s="124" t="s">
        <v>99</v>
      </c>
      <c r="B14" s="126">
        <f>+C55</f>
        <v>496750000</v>
      </c>
    </row>
    <row r="15" spans="1:8" ht="29.25" customHeight="1" x14ac:dyDescent="0.2">
      <c r="A15" s="124" t="s">
        <v>100</v>
      </c>
      <c r="B15" s="126">
        <f>+C70</f>
        <v>1366750000</v>
      </c>
    </row>
    <row r="16" spans="1:8" ht="23.25" customHeight="1" x14ac:dyDescent="0.2">
      <c r="A16" s="124" t="s">
        <v>220</v>
      </c>
      <c r="B16" s="126">
        <f>+C75</f>
        <v>200000000</v>
      </c>
    </row>
    <row r="17" spans="1:5" ht="23.25" customHeight="1" x14ac:dyDescent="0.35">
      <c r="A17" s="124" t="s">
        <v>734</v>
      </c>
      <c r="B17" s="349">
        <v>84100000</v>
      </c>
    </row>
    <row r="18" spans="1:5" ht="23.25" customHeight="1" x14ac:dyDescent="0.4">
      <c r="A18" s="497" t="s">
        <v>420</v>
      </c>
      <c r="B18" s="302">
        <f>SUM(B13:B17)</f>
        <v>2620756800</v>
      </c>
    </row>
    <row r="19" spans="1:5" ht="27" customHeight="1" x14ac:dyDescent="0.4">
      <c r="A19" s="497"/>
      <c r="B19" s="302"/>
    </row>
    <row r="20" spans="1:5" ht="22.5" customHeight="1" thickBot="1" x14ac:dyDescent="0.25">
      <c r="A20" s="135"/>
      <c r="B20" s="303"/>
    </row>
    <row r="21" spans="1:5" ht="27" customHeight="1" x14ac:dyDescent="0.2">
      <c r="C21" s="243"/>
    </row>
    <row r="22" spans="1:5" ht="27" customHeight="1" x14ac:dyDescent="0.2">
      <c r="C22" s="243"/>
    </row>
    <row r="23" spans="1:5" ht="27" customHeight="1" x14ac:dyDescent="0.2">
      <c r="C23" s="243"/>
    </row>
    <row r="24" spans="1:5" ht="27" customHeight="1" x14ac:dyDescent="0.2">
      <c r="C24" s="243"/>
    </row>
    <row r="25" spans="1:5" ht="27" customHeight="1" x14ac:dyDescent="0.2"/>
    <row r="26" spans="1:5" ht="27" customHeight="1" x14ac:dyDescent="0.2"/>
    <row r="27" spans="1:5" ht="27" customHeight="1" x14ac:dyDescent="0.25">
      <c r="A27" s="7" t="s">
        <v>416</v>
      </c>
      <c r="B27" s="40"/>
      <c r="C27" s="40"/>
    </row>
    <row r="28" spans="1:5" ht="27" customHeight="1" x14ac:dyDescent="0.2"/>
    <row r="29" spans="1:5" ht="27" customHeight="1" x14ac:dyDescent="0.25">
      <c r="A29" s="602" t="s">
        <v>417</v>
      </c>
      <c r="B29" s="602" t="s">
        <v>289</v>
      </c>
      <c r="C29" s="602" t="s">
        <v>418</v>
      </c>
      <c r="E29" s="40"/>
    </row>
    <row r="30" spans="1:5" ht="27" customHeight="1" x14ac:dyDescent="0.25">
      <c r="A30" s="603" t="s">
        <v>419</v>
      </c>
      <c r="B30" s="604"/>
      <c r="C30" s="602"/>
    </row>
    <row r="31" spans="1:5" ht="19.149999999999999" customHeight="1" x14ac:dyDescent="0.2">
      <c r="A31" s="605">
        <v>39310</v>
      </c>
      <c r="B31" s="606">
        <v>45183</v>
      </c>
      <c r="C31" s="607">
        <v>70000000</v>
      </c>
    </row>
    <row r="32" spans="1:5" ht="19.149999999999999" customHeight="1" x14ac:dyDescent="0.2">
      <c r="A32" s="605">
        <v>39363</v>
      </c>
      <c r="B32" s="606">
        <v>45216</v>
      </c>
      <c r="C32" s="607">
        <v>20000000</v>
      </c>
    </row>
    <row r="33" spans="1:3" ht="19.149999999999999" customHeight="1" x14ac:dyDescent="0.2">
      <c r="A33" s="605">
        <v>39410</v>
      </c>
      <c r="B33" s="606">
        <v>45239</v>
      </c>
      <c r="C33" s="607">
        <v>40000000</v>
      </c>
    </row>
    <row r="34" spans="1:3" ht="19.149999999999999" customHeight="1" x14ac:dyDescent="0.2">
      <c r="A34" s="605">
        <v>39476</v>
      </c>
      <c r="B34" s="606">
        <v>45278</v>
      </c>
      <c r="C34" s="607">
        <v>21156800</v>
      </c>
    </row>
    <row r="35" spans="1:3" ht="19.149999999999999" customHeight="1" x14ac:dyDescent="0.2">
      <c r="A35" s="605">
        <v>39477</v>
      </c>
      <c r="B35" s="606">
        <v>45279</v>
      </c>
      <c r="C35" s="607">
        <v>40000000</v>
      </c>
    </row>
    <row r="36" spans="1:3" ht="19.149999999999999" customHeight="1" x14ac:dyDescent="0.2">
      <c r="A36" s="605">
        <v>39515</v>
      </c>
      <c r="B36" s="606">
        <v>45303</v>
      </c>
      <c r="C36" s="607">
        <v>20000000</v>
      </c>
    </row>
    <row r="37" spans="1:3" ht="19.149999999999999" customHeight="1" x14ac:dyDescent="0.2">
      <c r="A37" s="605">
        <v>39567</v>
      </c>
      <c r="B37" s="606">
        <v>45335</v>
      </c>
      <c r="C37" s="607">
        <v>20000000</v>
      </c>
    </row>
    <row r="38" spans="1:3" ht="19.149999999999999" customHeight="1" x14ac:dyDescent="0.2">
      <c r="A38" s="605">
        <v>39616</v>
      </c>
      <c r="B38" s="606">
        <v>45365</v>
      </c>
      <c r="C38" s="607">
        <v>20000000</v>
      </c>
    </row>
    <row r="39" spans="1:3" ht="19.149999999999999" customHeight="1" x14ac:dyDescent="0.2">
      <c r="A39" s="605">
        <v>39651</v>
      </c>
      <c r="B39" s="606">
        <v>45386</v>
      </c>
      <c r="C39" s="607">
        <v>20000000</v>
      </c>
    </row>
    <row r="40" spans="1:3" ht="19.149999999999999" customHeight="1" x14ac:dyDescent="0.2">
      <c r="A40" s="605">
        <v>39713</v>
      </c>
      <c r="B40" s="606">
        <v>45422</v>
      </c>
      <c r="C40" s="607">
        <v>20000000</v>
      </c>
    </row>
    <row r="41" spans="1:3" ht="19.149999999999999" customHeight="1" x14ac:dyDescent="0.2">
      <c r="A41" s="605">
        <v>39749</v>
      </c>
      <c r="B41" s="606">
        <v>45460</v>
      </c>
      <c r="C41" s="607">
        <v>20000000</v>
      </c>
    </row>
    <row r="42" spans="1:3" ht="19.149999999999999" customHeight="1" x14ac:dyDescent="0.2">
      <c r="A42" s="605">
        <v>39848</v>
      </c>
      <c r="B42" s="606">
        <v>45561</v>
      </c>
      <c r="C42" s="607">
        <v>24000000</v>
      </c>
    </row>
    <row r="43" spans="1:3" ht="19.149999999999999" customHeight="1" x14ac:dyDescent="0.2">
      <c r="A43" s="605">
        <v>39885</v>
      </c>
      <c r="B43" s="606">
        <v>45576</v>
      </c>
      <c r="C43" s="607">
        <v>8000000</v>
      </c>
    </row>
    <row r="44" spans="1:3" ht="19.149999999999999" customHeight="1" x14ac:dyDescent="0.2">
      <c r="A44" s="605">
        <v>39926</v>
      </c>
      <c r="B44" s="606">
        <v>45608</v>
      </c>
      <c r="C44" s="607">
        <v>8000000</v>
      </c>
    </row>
    <row r="45" spans="1:3" ht="19.149999999999999" customHeight="1" x14ac:dyDescent="0.2">
      <c r="A45" s="605">
        <v>39936</v>
      </c>
      <c r="B45" s="606">
        <v>45623</v>
      </c>
      <c r="C45" s="607">
        <v>12000000</v>
      </c>
    </row>
    <row r="46" spans="1:3" ht="19.149999999999999" customHeight="1" x14ac:dyDescent="0.2">
      <c r="A46" s="605">
        <v>39941</v>
      </c>
      <c r="B46" s="606">
        <v>45629</v>
      </c>
      <c r="C46" s="607">
        <v>20000000</v>
      </c>
    </row>
    <row r="47" spans="1:3" ht="19.149999999999999" customHeight="1" x14ac:dyDescent="0.2">
      <c r="A47" s="605">
        <v>40043</v>
      </c>
      <c r="B47" s="606">
        <v>45757</v>
      </c>
      <c r="C47" s="607">
        <v>48000000</v>
      </c>
    </row>
    <row r="48" spans="1:3" ht="19.149999999999999" customHeight="1" x14ac:dyDescent="0.2">
      <c r="A48" s="605">
        <v>40166</v>
      </c>
      <c r="B48" s="606">
        <v>45896</v>
      </c>
      <c r="C48" s="608">
        <v>42000000</v>
      </c>
    </row>
    <row r="49" spans="1:5" ht="27" customHeight="1" x14ac:dyDescent="0.25">
      <c r="A49" s="603" t="s">
        <v>421</v>
      </c>
      <c r="B49" s="604"/>
      <c r="C49" s="609">
        <f>SUM(C31:C48)</f>
        <v>473156800</v>
      </c>
    </row>
    <row r="50" spans="1:5" ht="25.9" customHeight="1" x14ac:dyDescent="0.25">
      <c r="A50" s="605"/>
      <c r="B50" s="606"/>
      <c r="C50" s="609"/>
    </row>
    <row r="51" spans="1:5" ht="26.45" customHeight="1" x14ac:dyDescent="0.2">
      <c r="A51" s="603" t="s">
        <v>99</v>
      </c>
      <c r="B51" s="604"/>
      <c r="C51" s="608"/>
      <c r="E51" s="586"/>
    </row>
    <row r="52" spans="1:5" ht="19.899999999999999" customHeight="1" x14ac:dyDescent="0.2">
      <c r="A52" s="610" t="s">
        <v>422</v>
      </c>
      <c r="B52" s="611">
        <v>45426</v>
      </c>
      <c r="C52" s="612">
        <v>296750000</v>
      </c>
    </row>
    <row r="53" spans="1:5" ht="19.899999999999999" customHeight="1" x14ac:dyDescent="0.2">
      <c r="A53" s="605" t="s">
        <v>730</v>
      </c>
      <c r="B53" s="606">
        <v>45777</v>
      </c>
      <c r="C53" s="607">
        <v>100000000</v>
      </c>
    </row>
    <row r="54" spans="1:5" ht="19.899999999999999" customHeight="1" x14ac:dyDescent="0.2">
      <c r="A54" s="605" t="s">
        <v>829</v>
      </c>
      <c r="B54" s="606">
        <v>45882</v>
      </c>
      <c r="C54" s="608">
        <v>100000000</v>
      </c>
    </row>
    <row r="55" spans="1:5" ht="34.9" customHeight="1" x14ac:dyDescent="0.25">
      <c r="A55" s="603" t="s">
        <v>731</v>
      </c>
      <c r="B55" s="604"/>
      <c r="C55" s="609">
        <f>SUM(C52:C54)</f>
        <v>496750000</v>
      </c>
    </row>
    <row r="56" spans="1:5" ht="25.9" customHeight="1" x14ac:dyDescent="0.25">
      <c r="A56" s="605"/>
      <c r="B56" s="605"/>
      <c r="C56" s="609"/>
    </row>
    <row r="57" spans="1:5" ht="25.9" customHeight="1" x14ac:dyDescent="0.25">
      <c r="A57" s="605"/>
      <c r="B57" s="605"/>
      <c r="C57" s="609"/>
    </row>
    <row r="58" spans="1:5" ht="27.75" customHeight="1" x14ac:dyDescent="0.2">
      <c r="A58" s="603" t="s">
        <v>100</v>
      </c>
      <c r="B58" s="604"/>
      <c r="C58" s="608"/>
    </row>
    <row r="59" spans="1:5" ht="19.899999999999999" customHeight="1" x14ac:dyDescent="0.2">
      <c r="A59" s="610" t="s">
        <v>423</v>
      </c>
      <c r="B59" s="611">
        <v>45426</v>
      </c>
      <c r="C59" s="612">
        <v>296750000</v>
      </c>
    </row>
    <row r="60" spans="1:5" x14ac:dyDescent="0.2">
      <c r="A60" s="610">
        <v>39804</v>
      </c>
      <c r="B60" s="611">
        <v>45490</v>
      </c>
      <c r="C60" s="612">
        <v>110000000</v>
      </c>
    </row>
    <row r="61" spans="1:5" x14ac:dyDescent="0.2">
      <c r="A61" s="610">
        <v>39831</v>
      </c>
      <c r="B61" s="611">
        <v>45512</v>
      </c>
      <c r="C61" s="612">
        <v>110000000</v>
      </c>
    </row>
    <row r="62" spans="1:5" x14ac:dyDescent="0.2">
      <c r="A62" s="610">
        <v>39832</v>
      </c>
      <c r="B62" s="611">
        <v>45516</v>
      </c>
      <c r="C62" s="612">
        <v>110000000</v>
      </c>
    </row>
    <row r="63" spans="1:5" x14ac:dyDescent="0.2">
      <c r="A63" s="610">
        <v>39851</v>
      </c>
      <c r="B63" s="611">
        <v>45545</v>
      </c>
      <c r="C63" s="612">
        <v>110000000</v>
      </c>
    </row>
    <row r="64" spans="1:5" x14ac:dyDescent="0.2">
      <c r="A64" s="610">
        <v>39889</v>
      </c>
      <c r="B64" s="611">
        <v>45576</v>
      </c>
      <c r="C64" s="612">
        <v>110000000</v>
      </c>
    </row>
    <row r="65" spans="1:3" x14ac:dyDescent="0.2">
      <c r="A65" s="610">
        <v>39922</v>
      </c>
      <c r="B65" s="611">
        <v>45614</v>
      </c>
      <c r="C65" s="612">
        <v>110000000</v>
      </c>
    </row>
    <row r="66" spans="1:3" x14ac:dyDescent="0.2">
      <c r="A66" s="610">
        <v>39945</v>
      </c>
      <c r="B66" s="611">
        <v>45630</v>
      </c>
      <c r="C66" s="612">
        <v>110000000</v>
      </c>
    </row>
    <row r="67" spans="1:3" x14ac:dyDescent="0.2">
      <c r="A67" s="610">
        <v>40068</v>
      </c>
      <c r="B67" s="611">
        <v>45791</v>
      </c>
      <c r="C67" s="612">
        <v>100000000</v>
      </c>
    </row>
    <row r="68" spans="1:3" x14ac:dyDescent="0.2">
      <c r="A68" s="610">
        <v>40106</v>
      </c>
      <c r="B68" s="611">
        <v>45841</v>
      </c>
      <c r="C68" s="612">
        <v>100000000</v>
      </c>
    </row>
    <row r="69" spans="1:3" x14ac:dyDescent="0.2">
      <c r="A69" s="610">
        <v>40176</v>
      </c>
      <c r="B69" s="611">
        <v>45911</v>
      </c>
      <c r="C69" s="612">
        <v>100000000</v>
      </c>
    </row>
    <row r="70" spans="1:3" ht="27.6" customHeight="1" x14ac:dyDescent="0.25">
      <c r="A70" s="603" t="s">
        <v>424</v>
      </c>
      <c r="B70" s="604"/>
      <c r="C70" s="609">
        <f>SUM(C59:C69)</f>
        <v>1366750000</v>
      </c>
    </row>
    <row r="71" spans="1:3" ht="15.75" x14ac:dyDescent="0.25">
      <c r="A71" s="604"/>
      <c r="B71" s="604"/>
      <c r="C71" s="609"/>
    </row>
    <row r="72" spans="1:3" ht="27.75" customHeight="1" x14ac:dyDescent="0.2">
      <c r="A72" s="603" t="s">
        <v>220</v>
      </c>
      <c r="B72" s="604"/>
      <c r="C72" s="608"/>
    </row>
    <row r="73" spans="1:3" ht="25.15" customHeight="1" x14ac:dyDescent="0.2">
      <c r="A73" s="605" t="s">
        <v>729</v>
      </c>
      <c r="B73" s="606">
        <v>45777</v>
      </c>
      <c r="C73" s="607">
        <v>100000000</v>
      </c>
    </row>
    <row r="74" spans="1:3" ht="25.15" customHeight="1" x14ac:dyDescent="0.2">
      <c r="A74" s="605" t="s">
        <v>759</v>
      </c>
      <c r="B74" s="606">
        <v>45847</v>
      </c>
      <c r="C74" s="608">
        <v>100000000</v>
      </c>
    </row>
    <row r="75" spans="1:3" ht="27.6" customHeight="1" x14ac:dyDescent="0.25">
      <c r="A75" s="603" t="s">
        <v>758</v>
      </c>
      <c r="B75" s="604"/>
      <c r="C75" s="609">
        <f>SUM(C73:C74)</f>
        <v>200000000</v>
      </c>
    </row>
    <row r="76" spans="1:3" ht="15.75" x14ac:dyDescent="0.25">
      <c r="A76" s="605"/>
      <c r="B76" s="606"/>
      <c r="C76" s="609"/>
    </row>
    <row r="77" spans="1:3" ht="27.75" customHeight="1" x14ac:dyDescent="0.2">
      <c r="A77" s="603" t="s">
        <v>734</v>
      </c>
      <c r="B77" s="604"/>
      <c r="C77" s="608"/>
    </row>
    <row r="78" spans="1:3" ht="23.45" customHeight="1" x14ac:dyDescent="0.2">
      <c r="A78" s="613" t="s">
        <v>887</v>
      </c>
      <c r="B78" s="614">
        <v>45786</v>
      </c>
      <c r="C78" s="607">
        <v>24100000</v>
      </c>
    </row>
    <row r="79" spans="1:3" ht="23.45" customHeight="1" x14ac:dyDescent="0.2">
      <c r="A79" s="615" t="s">
        <v>885</v>
      </c>
      <c r="B79" s="614">
        <v>45789</v>
      </c>
      <c r="C79" s="608">
        <v>60000000</v>
      </c>
    </row>
    <row r="80" spans="1:3" ht="27.6" customHeight="1" x14ac:dyDescent="0.25">
      <c r="A80" s="603" t="s">
        <v>886</v>
      </c>
      <c r="B80" s="604"/>
      <c r="C80" s="609">
        <v>84100000</v>
      </c>
    </row>
    <row r="81" spans="1:3" ht="16.5" thickBot="1" x14ac:dyDescent="0.3">
      <c r="A81" s="616"/>
      <c r="B81" s="616"/>
      <c r="C81" s="617"/>
    </row>
    <row r="82" spans="1:3" ht="25.15" customHeight="1" thickBot="1" x14ac:dyDescent="0.45">
      <c r="A82" s="618" t="s">
        <v>425</v>
      </c>
      <c r="B82" s="619"/>
      <c r="C82" s="620">
        <f>+C75+C70+C55+C49+C80</f>
        <v>2620756800</v>
      </c>
    </row>
    <row r="83" spans="1:3" x14ac:dyDescent="0.2">
      <c r="A83" s="201"/>
      <c r="B83" s="201"/>
      <c r="C83" s="201"/>
    </row>
    <row r="84" spans="1:3" x14ac:dyDescent="0.2">
      <c r="A84" s="191"/>
      <c r="B84" s="191"/>
      <c r="C84" s="191"/>
    </row>
  </sheetData>
  <mergeCells count="4">
    <mergeCell ref="A9:B9"/>
    <mergeCell ref="A10:B10"/>
    <mergeCell ref="A7:B7"/>
    <mergeCell ref="A8:B8"/>
  </mergeCells>
  <phoneticPr fontId="75" type="noConversion"/>
  <printOptions horizontalCentered="1"/>
  <pageMargins left="0.70866141732283472" right="0.31496062992125984" top="0.74803149606299213" bottom="0.74803149606299213" header="0.31496062992125984" footer="0.31496062992125984"/>
  <pageSetup fitToHeight="2" orientation="portrait" r:id="rId1"/>
  <rowBreaks count="2" manualBreakCount="2">
    <brk id="23" max="2" man="1"/>
    <brk id="56" max="2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4D21-3DBC-44D8-BAA4-C261AEC889CD}">
  <sheetPr codeName="Hoja25"/>
  <dimension ref="A1:F51"/>
  <sheetViews>
    <sheetView workbookViewId="0">
      <selection activeCell="I12" sqref="I12"/>
    </sheetView>
  </sheetViews>
  <sheetFormatPr baseColWidth="10" defaultColWidth="11.42578125" defaultRowHeight="15" x14ac:dyDescent="0.2"/>
  <cols>
    <col min="1" max="1" width="59.28515625" style="4" bestFit="1" customWidth="1"/>
    <col min="2" max="2" width="12.7109375" style="4" bestFit="1" customWidth="1"/>
    <col min="3" max="3" width="11.42578125" style="4" bestFit="1" customWidth="1"/>
    <col min="4" max="4" width="20.28515625" style="4" bestFit="1" customWidth="1"/>
    <col min="5" max="5" width="18.7109375" style="4" bestFit="1" customWidth="1"/>
    <col min="6" max="16384" width="11.42578125" style="4"/>
  </cols>
  <sheetData>
    <row r="1" spans="1:6" ht="15.75" x14ac:dyDescent="0.25">
      <c r="A1" s="307" t="s">
        <v>426</v>
      </c>
      <c r="B1" s="307"/>
      <c r="C1" s="308"/>
      <c r="E1" s="308" t="s">
        <v>427</v>
      </c>
      <c r="F1" s="309"/>
    </row>
    <row r="3" spans="1:6" x14ac:dyDescent="0.2">
      <c r="A3" s="308" t="s">
        <v>428</v>
      </c>
      <c r="B3" s="308"/>
      <c r="C3" s="310">
        <v>45200</v>
      </c>
      <c r="D3" s="308" t="s">
        <v>429</v>
      </c>
      <c r="E3" s="310">
        <v>45488</v>
      </c>
    </row>
    <row r="4" spans="1:6" x14ac:dyDescent="0.2">
      <c r="A4" s="308" t="s">
        <v>251</v>
      </c>
      <c r="B4" s="308"/>
      <c r="C4" s="308">
        <v>0</v>
      </c>
      <c r="D4" s="308" t="s">
        <v>430</v>
      </c>
      <c r="E4" s="308">
        <v>0</v>
      </c>
    </row>
    <row r="5" spans="1:6" ht="15.75" x14ac:dyDescent="0.25">
      <c r="A5" s="307" t="s">
        <v>431</v>
      </c>
      <c r="B5" s="308"/>
      <c r="C5" s="308"/>
      <c r="D5" s="308"/>
      <c r="E5" s="308"/>
    </row>
    <row r="7" spans="1:6" x14ac:dyDescent="0.2">
      <c r="A7" s="311" t="s">
        <v>432</v>
      </c>
      <c r="B7" s="311" t="s">
        <v>289</v>
      </c>
      <c r="C7" s="311" t="s">
        <v>433</v>
      </c>
      <c r="D7" s="311" t="s">
        <v>434</v>
      </c>
      <c r="E7" s="311" t="s">
        <v>435</v>
      </c>
    </row>
    <row r="8" spans="1:6" x14ac:dyDescent="0.2">
      <c r="A8" s="308" t="s">
        <v>436</v>
      </c>
      <c r="B8" s="310">
        <v>45183</v>
      </c>
      <c r="C8" s="308">
        <v>39310</v>
      </c>
      <c r="D8" s="308">
        <v>0</v>
      </c>
      <c r="E8" s="312">
        <v>70000000</v>
      </c>
    </row>
    <row r="9" spans="1:6" x14ac:dyDescent="0.2">
      <c r="A9" s="308" t="s">
        <v>436</v>
      </c>
      <c r="B9" s="310">
        <v>45216</v>
      </c>
      <c r="C9" s="308">
        <v>39363</v>
      </c>
      <c r="D9" s="308">
        <v>0</v>
      </c>
      <c r="E9" s="312">
        <v>20000000</v>
      </c>
    </row>
    <row r="10" spans="1:6" x14ac:dyDescent="0.2">
      <c r="A10" s="308" t="s">
        <v>436</v>
      </c>
      <c r="B10" s="310">
        <v>45239</v>
      </c>
      <c r="C10" s="308">
        <v>39410</v>
      </c>
      <c r="D10" s="308">
        <v>0</v>
      </c>
      <c r="E10" s="312">
        <v>40000000</v>
      </c>
    </row>
    <row r="11" spans="1:6" x14ac:dyDescent="0.2">
      <c r="A11" s="308" t="s">
        <v>436</v>
      </c>
      <c r="B11" s="310">
        <v>45278</v>
      </c>
      <c r="C11" s="308">
        <v>39476</v>
      </c>
      <c r="D11" s="308">
        <v>0</v>
      </c>
      <c r="E11" s="312">
        <v>21156800</v>
      </c>
    </row>
    <row r="12" spans="1:6" x14ac:dyDescent="0.2">
      <c r="A12" s="308" t="s">
        <v>436</v>
      </c>
      <c r="B12" s="310">
        <v>45279</v>
      </c>
      <c r="C12" s="308">
        <v>39477</v>
      </c>
      <c r="D12" s="308">
        <v>0</v>
      </c>
      <c r="E12" s="312">
        <v>40000000</v>
      </c>
    </row>
    <row r="13" spans="1:6" x14ac:dyDescent="0.2">
      <c r="A13" s="308" t="s">
        <v>436</v>
      </c>
      <c r="B13" s="310">
        <v>45303</v>
      </c>
      <c r="C13" s="308">
        <v>39515</v>
      </c>
      <c r="D13" s="308">
        <v>0</v>
      </c>
      <c r="E13" s="312">
        <v>20000000</v>
      </c>
    </row>
    <row r="14" spans="1:6" x14ac:dyDescent="0.2">
      <c r="A14" s="308" t="s">
        <v>436</v>
      </c>
      <c r="B14" s="310">
        <v>45335</v>
      </c>
      <c r="C14" s="308">
        <v>39567</v>
      </c>
      <c r="D14" s="308">
        <v>0</v>
      </c>
      <c r="E14" s="312">
        <v>20000000</v>
      </c>
    </row>
    <row r="15" spans="1:6" x14ac:dyDescent="0.2">
      <c r="A15" s="308" t="s">
        <v>436</v>
      </c>
      <c r="B15" s="310">
        <v>45365</v>
      </c>
      <c r="C15" s="308">
        <v>39616</v>
      </c>
      <c r="D15" s="308">
        <v>0</v>
      </c>
      <c r="E15" s="312">
        <v>20000000</v>
      </c>
    </row>
    <row r="16" spans="1:6" x14ac:dyDescent="0.2">
      <c r="A16" s="308" t="s">
        <v>436</v>
      </c>
      <c r="B16" s="310">
        <v>45386</v>
      </c>
      <c r="C16" s="308">
        <v>39651</v>
      </c>
      <c r="D16" s="308">
        <v>0</v>
      </c>
      <c r="E16" s="312">
        <v>20000000</v>
      </c>
    </row>
    <row r="17" spans="1:5" x14ac:dyDescent="0.2">
      <c r="A17" s="308" t="s">
        <v>436</v>
      </c>
      <c r="B17" s="310">
        <v>45422</v>
      </c>
      <c r="C17" s="308">
        <v>39713</v>
      </c>
      <c r="D17" s="308">
        <v>0</v>
      </c>
      <c r="E17" s="312">
        <v>20000000</v>
      </c>
    </row>
    <row r="18" spans="1:5" x14ac:dyDescent="0.2">
      <c r="A18" s="308" t="s">
        <v>436</v>
      </c>
      <c r="B18" s="310">
        <v>45460</v>
      </c>
      <c r="C18" s="308">
        <v>39749</v>
      </c>
      <c r="D18" s="308">
        <v>0</v>
      </c>
      <c r="E18" s="312">
        <v>20000000</v>
      </c>
    </row>
    <row r="19" spans="1:5" x14ac:dyDescent="0.2">
      <c r="A19" s="308" t="s">
        <v>436</v>
      </c>
      <c r="B19" s="310">
        <v>45540</v>
      </c>
      <c r="C19" s="308">
        <v>39848</v>
      </c>
      <c r="D19" s="308">
        <v>0</v>
      </c>
      <c r="E19" s="312">
        <v>24000000</v>
      </c>
    </row>
    <row r="20" spans="1:5" x14ac:dyDescent="0.2">
      <c r="A20" s="308" t="s">
        <v>436</v>
      </c>
      <c r="B20" s="310">
        <v>45576</v>
      </c>
      <c r="C20" s="308">
        <v>39885</v>
      </c>
      <c r="D20" s="308">
        <v>0</v>
      </c>
      <c r="E20" s="312">
        <v>8000000</v>
      </c>
    </row>
    <row r="21" spans="1:5" x14ac:dyDescent="0.2">
      <c r="A21" s="308" t="s">
        <v>436</v>
      </c>
      <c r="B21" s="310">
        <v>45608</v>
      </c>
      <c r="C21" s="308">
        <v>39926</v>
      </c>
      <c r="D21" s="308">
        <v>0</v>
      </c>
      <c r="E21" s="312">
        <v>8000000</v>
      </c>
    </row>
    <row r="22" spans="1:5" x14ac:dyDescent="0.2">
      <c r="A22" s="308" t="s">
        <v>436</v>
      </c>
      <c r="B22" s="310">
        <v>45623</v>
      </c>
      <c r="C22" s="308">
        <v>39936</v>
      </c>
      <c r="D22" s="308">
        <v>0</v>
      </c>
      <c r="E22" s="312">
        <v>12000000</v>
      </c>
    </row>
    <row r="23" spans="1:5" x14ac:dyDescent="0.2">
      <c r="A23" s="308" t="s">
        <v>436</v>
      </c>
      <c r="B23" s="310">
        <v>45623</v>
      </c>
      <c r="C23" s="308">
        <v>39941</v>
      </c>
      <c r="D23" s="308">
        <v>0</v>
      </c>
      <c r="E23" s="312">
        <v>20000000</v>
      </c>
    </row>
    <row r="24" spans="1:5" ht="15.75" thickBot="1" x14ac:dyDescent="0.25">
      <c r="A24" s="308"/>
      <c r="B24" s="308"/>
      <c r="C24" s="308" t="s">
        <v>437</v>
      </c>
      <c r="D24" s="308"/>
      <c r="E24" s="313">
        <f>SUM(E8:E23)</f>
        <v>383156800</v>
      </c>
    </row>
    <row r="25" spans="1:5" ht="15.75" thickTop="1" x14ac:dyDescent="0.2">
      <c r="A25" s="308"/>
      <c r="B25" s="308"/>
      <c r="C25" s="308"/>
      <c r="D25" s="308"/>
      <c r="E25" s="308"/>
    </row>
    <row r="32" spans="1:5" ht="15.75" x14ac:dyDescent="0.25">
      <c r="A32" s="307" t="s">
        <v>426</v>
      </c>
      <c r="B32" s="307"/>
      <c r="C32" s="308"/>
      <c r="E32" s="308" t="s">
        <v>427</v>
      </c>
    </row>
    <row r="34" spans="1:5" x14ac:dyDescent="0.2">
      <c r="A34" s="308" t="s">
        <v>428</v>
      </c>
      <c r="B34" s="308"/>
      <c r="C34" s="310">
        <v>45200</v>
      </c>
      <c r="D34" s="308" t="s">
        <v>429</v>
      </c>
      <c r="E34" s="310">
        <v>45523</v>
      </c>
    </row>
    <row r="35" spans="1:5" x14ac:dyDescent="0.2">
      <c r="A35" s="308" t="s">
        <v>251</v>
      </c>
      <c r="B35" s="308"/>
      <c r="C35" s="308">
        <v>0</v>
      </c>
      <c r="D35" s="308" t="s">
        <v>430</v>
      </c>
      <c r="E35" s="308">
        <v>0</v>
      </c>
    </row>
    <row r="36" spans="1:5" ht="15.75" x14ac:dyDescent="0.25">
      <c r="A36" s="307" t="s">
        <v>438</v>
      </c>
      <c r="B36" s="308"/>
      <c r="C36" s="308"/>
      <c r="D36" s="308"/>
      <c r="E36" s="308"/>
    </row>
    <row r="38" spans="1:5" x14ac:dyDescent="0.2">
      <c r="A38" s="314" t="s">
        <v>432</v>
      </c>
      <c r="B38" s="314" t="s">
        <v>289</v>
      </c>
      <c r="C38" s="314" t="s">
        <v>433</v>
      </c>
      <c r="D38" s="314" t="s">
        <v>434</v>
      </c>
      <c r="E38" s="314" t="s">
        <v>435</v>
      </c>
    </row>
    <row r="39" spans="1:5" x14ac:dyDescent="0.2">
      <c r="A39" s="308" t="s">
        <v>436</v>
      </c>
      <c r="B39" s="310">
        <v>45426</v>
      </c>
      <c r="C39" s="315" t="s">
        <v>439</v>
      </c>
      <c r="E39" s="274">
        <v>296750000</v>
      </c>
    </row>
    <row r="40" spans="1:5" x14ac:dyDescent="0.2">
      <c r="A40" s="308" t="s">
        <v>436</v>
      </c>
      <c r="B40" s="316">
        <v>45490</v>
      </c>
      <c r="C40" s="4">
        <v>39804</v>
      </c>
      <c r="D40" s="317"/>
      <c r="E40" s="312">
        <v>110000000</v>
      </c>
    </row>
    <row r="41" spans="1:5" ht="15.75" thickBot="1" x14ac:dyDescent="0.25">
      <c r="A41" s="308"/>
      <c r="B41" s="310"/>
      <c r="C41" s="308"/>
      <c r="D41" s="274"/>
      <c r="E41" s="313">
        <f>SUM(E39:E40)</f>
        <v>406750000</v>
      </c>
    </row>
    <row r="42" spans="1:5" ht="15.75" thickTop="1" x14ac:dyDescent="0.2">
      <c r="A42" s="308"/>
      <c r="B42" s="310"/>
      <c r="C42" s="308"/>
      <c r="D42" s="274"/>
      <c r="E42" s="312"/>
    </row>
    <row r="43" spans="1:5" x14ac:dyDescent="0.2">
      <c r="A43" s="308"/>
      <c r="B43" s="310"/>
      <c r="C43" s="308"/>
      <c r="D43" s="274"/>
      <c r="E43" s="312"/>
    </row>
    <row r="44" spans="1:5" x14ac:dyDescent="0.2">
      <c r="A44" s="308"/>
      <c r="B44" s="310"/>
      <c r="C44" s="308"/>
      <c r="D44" s="274"/>
      <c r="E44" s="312"/>
    </row>
    <row r="45" spans="1:5" x14ac:dyDescent="0.2">
      <c r="A45" s="308"/>
      <c r="B45" s="310"/>
      <c r="C45" s="308"/>
      <c r="D45" s="308"/>
      <c r="E45" s="312"/>
    </row>
    <row r="46" spans="1:5" x14ac:dyDescent="0.2">
      <c r="A46" s="308"/>
      <c r="B46" s="310"/>
      <c r="C46" s="308"/>
      <c r="D46" s="308"/>
      <c r="E46" s="312"/>
    </row>
    <row r="47" spans="1:5" x14ac:dyDescent="0.2">
      <c r="A47" s="308"/>
      <c r="B47" s="310"/>
      <c r="C47" s="308"/>
      <c r="D47" s="308"/>
      <c r="E47" s="312"/>
    </row>
    <row r="48" spans="1:5" x14ac:dyDescent="0.2">
      <c r="A48" s="308"/>
      <c r="B48" s="310"/>
      <c r="C48" s="308"/>
      <c r="D48" s="308"/>
      <c r="E48" s="312"/>
    </row>
    <row r="49" spans="1:5" x14ac:dyDescent="0.2">
      <c r="A49" s="308"/>
      <c r="B49" s="310"/>
      <c r="C49" s="308"/>
      <c r="D49" s="308"/>
      <c r="E49" s="312"/>
    </row>
    <row r="50" spans="1:5" x14ac:dyDescent="0.2">
      <c r="A50" s="308"/>
      <c r="B50" s="308"/>
      <c r="C50" s="308"/>
      <c r="D50" s="308"/>
      <c r="E50" s="312"/>
    </row>
    <row r="51" spans="1:5" x14ac:dyDescent="0.2">
      <c r="A51" s="308"/>
      <c r="B51" s="308"/>
      <c r="C51" s="308"/>
      <c r="D51" s="308"/>
      <c r="E51" s="312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6">
    <pageSetUpPr fitToPage="1"/>
  </sheetPr>
  <dimension ref="B1:L41"/>
  <sheetViews>
    <sheetView topLeftCell="A16" zoomScale="98" zoomScaleNormal="98" workbookViewId="0">
      <selection activeCell="C14" sqref="C14"/>
    </sheetView>
  </sheetViews>
  <sheetFormatPr baseColWidth="10" defaultColWidth="9.140625" defaultRowHeight="24.75" customHeight="1" x14ac:dyDescent="0.2"/>
  <cols>
    <col min="1" max="1" width="4" style="4" customWidth="1"/>
    <col min="2" max="2" width="26" style="4" bestFit="1" customWidth="1"/>
    <col min="3" max="3" width="22.42578125" style="4" bestFit="1" customWidth="1"/>
    <col min="4" max="4" width="20.140625" style="4" bestFit="1" customWidth="1"/>
    <col min="5" max="5" width="22.140625" style="4" bestFit="1" customWidth="1"/>
    <col min="6" max="6" width="23.5703125" style="4" bestFit="1" customWidth="1"/>
    <col min="7" max="7" width="2.42578125" style="4" customWidth="1"/>
    <col min="8" max="9" width="19.42578125" style="4" bestFit="1" customWidth="1"/>
    <col min="10" max="10" width="22.7109375" style="4" bestFit="1" customWidth="1"/>
    <col min="11" max="11" width="12.42578125" style="4" bestFit="1" customWidth="1"/>
    <col min="12" max="12" width="17.7109375" style="4" bestFit="1" customWidth="1"/>
    <col min="13" max="13" width="13.28515625" style="4" bestFit="1" customWidth="1"/>
    <col min="14" max="16384" width="9.140625" style="4"/>
  </cols>
  <sheetData>
    <row r="1" spans="2:12" ht="15" x14ac:dyDescent="0.2"/>
    <row r="2" spans="2:12" ht="15" x14ac:dyDescent="0.2"/>
    <row r="3" spans="2:12" ht="15" x14ac:dyDescent="0.2"/>
    <row r="4" spans="2:12" ht="15" x14ac:dyDescent="0.2"/>
    <row r="5" spans="2:12" ht="15" x14ac:dyDescent="0.2">
      <c r="C5" s="331"/>
      <c r="D5" s="29"/>
    </row>
    <row r="6" spans="2:12" ht="16.5" customHeight="1" x14ac:dyDescent="0.25">
      <c r="B6" s="666" t="s">
        <v>440</v>
      </c>
      <c r="C6" s="666"/>
      <c r="D6" s="666"/>
      <c r="E6" s="666"/>
      <c r="F6" s="666"/>
      <c r="G6" s="666"/>
      <c r="H6" s="666"/>
      <c r="I6" s="666"/>
      <c r="J6" s="666"/>
    </row>
    <row r="7" spans="2:12" ht="19.5" customHeight="1" x14ac:dyDescent="0.2">
      <c r="B7" s="668" t="s">
        <v>223</v>
      </c>
      <c r="C7" s="668"/>
      <c r="D7" s="668"/>
      <c r="E7" s="668"/>
      <c r="F7" s="668"/>
      <c r="G7" s="668"/>
      <c r="H7" s="668"/>
      <c r="I7" s="668"/>
      <c r="J7" s="668"/>
    </row>
    <row r="8" spans="2:12" ht="20.25" customHeight="1" x14ac:dyDescent="0.25">
      <c r="B8" s="666" t="s">
        <v>441</v>
      </c>
      <c r="C8" s="666"/>
      <c r="D8" s="666"/>
      <c r="E8" s="666"/>
      <c r="F8" s="666"/>
      <c r="G8" s="666"/>
      <c r="H8" s="666"/>
      <c r="I8" s="666"/>
      <c r="J8" s="666"/>
    </row>
    <row r="9" spans="2:12" ht="20.25" customHeight="1" x14ac:dyDescent="0.25">
      <c r="B9" s="667">
        <v>45930</v>
      </c>
      <c r="C9" s="667"/>
      <c r="D9" s="667"/>
      <c r="E9" s="667"/>
      <c r="F9" s="667"/>
      <c r="G9" s="667"/>
      <c r="H9" s="667"/>
      <c r="I9" s="667"/>
      <c r="J9" s="667"/>
    </row>
    <row r="10" spans="2:12" ht="15.75" x14ac:dyDescent="0.25">
      <c r="B10" s="318"/>
      <c r="C10" s="332"/>
      <c r="D10" s="332"/>
      <c r="E10" s="332"/>
      <c r="F10" s="318"/>
      <c r="G10" s="318"/>
      <c r="H10" s="113"/>
      <c r="I10" s="319"/>
      <c r="J10" s="320"/>
    </row>
    <row r="11" spans="2:12" ht="54.75" customHeight="1" thickBot="1" x14ac:dyDescent="0.25">
      <c r="B11" s="321" t="s">
        <v>215</v>
      </c>
      <c r="C11" s="322" t="s">
        <v>442</v>
      </c>
      <c r="D11" s="322" t="s">
        <v>443</v>
      </c>
      <c r="E11" s="322" t="s">
        <v>444</v>
      </c>
      <c r="F11" s="322" t="s">
        <v>445</v>
      </c>
      <c r="G11" s="322"/>
      <c r="H11" s="322" t="s">
        <v>446</v>
      </c>
      <c r="I11" s="322" t="s">
        <v>447</v>
      </c>
      <c r="J11" s="323" t="s">
        <v>448</v>
      </c>
    </row>
    <row r="12" spans="2:12" ht="24.75" customHeight="1" x14ac:dyDescent="0.2">
      <c r="B12" s="324" t="s">
        <v>449</v>
      </c>
      <c r="C12" s="333">
        <v>61991399.309999995</v>
      </c>
      <c r="D12" s="333">
        <v>1003826</v>
      </c>
      <c r="E12" s="333">
        <v>25682855.010000002</v>
      </c>
      <c r="F12" s="334">
        <f>SUM(C12:E12)</f>
        <v>88678080.319999993</v>
      </c>
      <c r="G12" s="333"/>
      <c r="H12" s="334">
        <v>5881555.6499999994</v>
      </c>
      <c r="I12" s="334">
        <f>+H12</f>
        <v>5881555.6499999994</v>
      </c>
      <c r="J12" s="335">
        <f>+F12+I12</f>
        <v>94559635.969999999</v>
      </c>
      <c r="L12" s="29"/>
    </row>
    <row r="13" spans="2:12" ht="24.75" customHeight="1" x14ac:dyDescent="0.35">
      <c r="B13" s="325" t="s">
        <v>450</v>
      </c>
      <c r="C13" s="337">
        <v>297029.59999999998</v>
      </c>
      <c r="D13" s="337">
        <v>0</v>
      </c>
      <c r="E13" s="337">
        <v>0</v>
      </c>
      <c r="F13" s="338">
        <f>SUM(C13:E13)</f>
        <v>297029.59999999998</v>
      </c>
      <c r="G13" s="336"/>
      <c r="H13" s="337">
        <v>0</v>
      </c>
      <c r="I13" s="337">
        <f>+H13</f>
        <v>0</v>
      </c>
      <c r="J13" s="339">
        <f t="shared" ref="J13" si="0">+F13+I13</f>
        <v>297029.59999999998</v>
      </c>
      <c r="L13" s="29"/>
    </row>
    <row r="14" spans="2:12" ht="39" customHeight="1" x14ac:dyDescent="0.25">
      <c r="B14" s="326" t="s">
        <v>451</v>
      </c>
      <c r="C14" s="341">
        <f>SUM(C12:C13)</f>
        <v>62288428.909999996</v>
      </c>
      <c r="D14" s="341">
        <f>SUM(D12:D13)</f>
        <v>1003826</v>
      </c>
      <c r="E14" s="341">
        <f>SUM(E12:E13)</f>
        <v>25682855.010000002</v>
      </c>
      <c r="F14" s="341">
        <f>SUM(F12:F13)</f>
        <v>88975109.919999987</v>
      </c>
      <c r="G14" s="342"/>
      <c r="H14" s="341">
        <f>SUM(H12:H13)</f>
        <v>5881555.6499999994</v>
      </c>
      <c r="I14" s="341">
        <f>SUM(I12:I13)</f>
        <v>5881555.6499999994</v>
      </c>
      <c r="J14" s="343">
        <f>SUM(J12:J13)</f>
        <v>94856665.569999993</v>
      </c>
      <c r="K14" s="340"/>
      <c r="L14" s="21">
        <v>88297236.270000011</v>
      </c>
    </row>
    <row r="15" spans="2:12" ht="24.75" customHeight="1" x14ac:dyDescent="0.25">
      <c r="B15" s="325"/>
      <c r="C15" s="184"/>
      <c r="D15" s="184"/>
      <c r="E15" s="184"/>
      <c r="F15" s="184"/>
      <c r="G15" s="149"/>
      <c r="H15" s="184"/>
      <c r="I15" s="344"/>
      <c r="J15" s="345"/>
      <c r="K15" s="340"/>
    </row>
    <row r="16" spans="2:12" ht="38.25" customHeight="1" x14ac:dyDescent="0.25">
      <c r="B16" s="327" t="s">
        <v>452</v>
      </c>
      <c r="C16" s="344"/>
      <c r="D16" s="344"/>
      <c r="E16" s="346"/>
      <c r="F16" s="344"/>
      <c r="G16" s="153"/>
      <c r="H16" s="344"/>
      <c r="I16" s="344"/>
      <c r="J16" s="345"/>
      <c r="K16" s="340"/>
    </row>
    <row r="17" spans="2:12" ht="24.75" customHeight="1" x14ac:dyDescent="0.2">
      <c r="B17" s="325" t="s">
        <v>449</v>
      </c>
      <c r="C17" s="184">
        <v>43289234.090000011</v>
      </c>
      <c r="D17" s="184">
        <v>602296.19999999984</v>
      </c>
      <c r="E17" s="184">
        <v>21996538.850000001</v>
      </c>
      <c r="F17" s="182">
        <f>SUM(C17:E17)</f>
        <v>65888069.140000015</v>
      </c>
      <c r="G17" s="149"/>
      <c r="H17" s="184">
        <v>5881555.6499999994</v>
      </c>
      <c r="I17" s="184">
        <f>+H17</f>
        <v>5881555.6499999994</v>
      </c>
      <c r="J17" s="300">
        <f>+F17+I17</f>
        <v>71769624.790000021</v>
      </c>
    </row>
    <row r="18" spans="2:12" ht="24.75" customHeight="1" x14ac:dyDescent="0.35">
      <c r="B18" s="325" t="s">
        <v>453</v>
      </c>
      <c r="C18" s="347">
        <v>605509.62</v>
      </c>
      <c r="D18" s="347">
        <v>16730.45</v>
      </c>
      <c r="E18" s="347">
        <v>102397.66</v>
      </c>
      <c r="F18" s="348">
        <f>SUM(C18:E18)</f>
        <v>724637.73</v>
      </c>
      <c r="G18" s="149"/>
      <c r="H18" s="347">
        <v>0</v>
      </c>
      <c r="I18" s="347">
        <f>+H18</f>
        <v>0</v>
      </c>
      <c r="J18" s="349">
        <f>+F18+I18</f>
        <v>724637.73</v>
      </c>
    </row>
    <row r="19" spans="2:12" ht="41.25" customHeight="1" x14ac:dyDescent="0.55000000000000004">
      <c r="B19" s="328" t="s">
        <v>454</v>
      </c>
      <c r="C19" s="350">
        <f>SUM(C17:C18)</f>
        <v>43894743.710000008</v>
      </c>
      <c r="D19" s="350">
        <f>SUM(D17:D18)</f>
        <v>619026.64999999979</v>
      </c>
      <c r="E19" s="350">
        <f>SUM(E17:E18)</f>
        <v>22098936.510000002</v>
      </c>
      <c r="F19" s="350">
        <f>SUM(F17:F18)</f>
        <v>66612706.870000012</v>
      </c>
      <c r="G19" s="351"/>
      <c r="H19" s="350">
        <f>SUM(H17:H18)</f>
        <v>5881555.6499999994</v>
      </c>
      <c r="I19" s="350">
        <f>SUM(I17:I18)</f>
        <v>5881555.6499999994</v>
      </c>
      <c r="J19" s="352">
        <f>SUM(J17:J18)</f>
        <v>72494262.520000026</v>
      </c>
      <c r="L19" s="21"/>
    </row>
    <row r="20" spans="2:12" ht="24.75" customHeight="1" x14ac:dyDescent="0.55000000000000004">
      <c r="B20" s="329"/>
      <c r="C20" s="353"/>
      <c r="D20" s="353"/>
      <c r="E20" s="353"/>
      <c r="F20" s="353"/>
      <c r="G20" s="354"/>
      <c r="H20" s="184"/>
      <c r="I20" s="184"/>
      <c r="J20" s="300"/>
    </row>
    <row r="21" spans="2:12" ht="45.75" customHeight="1" x14ac:dyDescent="0.4">
      <c r="B21" s="326" t="s">
        <v>455</v>
      </c>
      <c r="C21" s="355">
        <f>+C14-C19</f>
        <v>18393685.199999988</v>
      </c>
      <c r="D21" s="355">
        <f>+D14-D19</f>
        <v>384799.35000000021</v>
      </c>
      <c r="E21" s="355">
        <f>+E14-E19</f>
        <v>3583918.5</v>
      </c>
      <c r="F21" s="355">
        <f>+F14-F19</f>
        <v>22362403.049999975</v>
      </c>
      <c r="G21" s="152"/>
      <c r="H21" s="355">
        <f>+H14-H19</f>
        <v>0</v>
      </c>
      <c r="I21" s="355">
        <f>+I14-I19</f>
        <v>0</v>
      </c>
      <c r="J21" s="302">
        <f>+J14-J19</f>
        <v>22362403.049999967</v>
      </c>
      <c r="L21" s="21"/>
    </row>
    <row r="22" spans="2:12" ht="24.75" customHeight="1" x14ac:dyDescent="0.2">
      <c r="B22" s="330"/>
      <c r="C22" s="356"/>
      <c r="D22" s="356"/>
      <c r="E22" s="356"/>
      <c r="F22" s="356"/>
      <c r="G22" s="356"/>
      <c r="H22" s="357"/>
      <c r="I22" s="357"/>
      <c r="J22" s="358"/>
    </row>
    <row r="23" spans="2:12" ht="24.75" customHeight="1" x14ac:dyDescent="0.2">
      <c r="B23" s="29"/>
      <c r="C23" s="113"/>
      <c r="D23" s="113"/>
      <c r="E23" s="359"/>
      <c r="F23" s="113"/>
      <c r="G23" s="113"/>
      <c r="H23" s="113"/>
      <c r="I23" s="113"/>
      <c r="J23" s="113"/>
    </row>
    <row r="24" spans="2:12" ht="24.75" hidden="1" customHeight="1" x14ac:dyDescent="0.2">
      <c r="C24" s="113"/>
      <c r="D24" s="113"/>
      <c r="E24" s="359"/>
      <c r="F24" s="113"/>
      <c r="G24" s="113"/>
      <c r="H24" s="113"/>
      <c r="I24" s="113"/>
      <c r="J24" s="113"/>
    </row>
    <row r="25" spans="2:12" ht="24.75" hidden="1" customHeight="1" x14ac:dyDescent="0.2">
      <c r="C25" s="113"/>
      <c r="D25" s="113"/>
      <c r="E25" s="359"/>
      <c r="F25" s="113"/>
      <c r="G25" s="113"/>
      <c r="H25" s="113"/>
      <c r="I25" s="113"/>
      <c r="J25" s="113"/>
    </row>
    <row r="26" spans="2:12" ht="24.75" hidden="1" customHeight="1" x14ac:dyDescent="0.2">
      <c r="C26" s="458" t="s">
        <v>442</v>
      </c>
      <c r="D26" s="459"/>
      <c r="E26" s="458">
        <f>+C14</f>
        <v>62288428.909999996</v>
      </c>
      <c r="H26" s="113"/>
      <c r="I26" s="113"/>
      <c r="J26" s="113"/>
    </row>
    <row r="27" spans="2:12" ht="24.75" hidden="1" customHeight="1" x14ac:dyDescent="0.2">
      <c r="C27" s="458" t="s">
        <v>753</v>
      </c>
      <c r="D27" s="459"/>
      <c r="E27" s="458">
        <f>-C19</f>
        <v>-43894743.710000008</v>
      </c>
      <c r="H27" s="113"/>
      <c r="I27" s="113"/>
      <c r="J27" s="113"/>
    </row>
    <row r="28" spans="2:12" ht="24.75" hidden="1" customHeight="1" x14ac:dyDescent="0.2">
      <c r="C28" s="458" t="s">
        <v>443</v>
      </c>
      <c r="D28" s="460"/>
      <c r="E28" s="458">
        <v>1003826</v>
      </c>
      <c r="F28" s="113"/>
      <c r="G28" s="113"/>
      <c r="H28" s="113"/>
      <c r="I28" s="113"/>
      <c r="J28" s="113"/>
    </row>
    <row r="29" spans="2:12" ht="24.75" hidden="1" customHeight="1" x14ac:dyDescent="0.2">
      <c r="C29" s="458" t="s">
        <v>755</v>
      </c>
      <c r="D29" s="460"/>
      <c r="E29" s="458">
        <f>-D19</f>
        <v>-619026.64999999979</v>
      </c>
      <c r="F29" s="113"/>
      <c r="G29" s="113"/>
      <c r="H29" s="113"/>
      <c r="I29" s="113"/>
      <c r="J29" s="113"/>
    </row>
    <row r="30" spans="2:12" ht="24.75" hidden="1" customHeight="1" x14ac:dyDescent="0.2">
      <c r="C30" s="461" t="s">
        <v>444</v>
      </c>
      <c r="D30" s="460"/>
      <c r="E30" s="458">
        <v>25682855.010000002</v>
      </c>
      <c r="F30" s="113"/>
      <c r="G30" s="113"/>
      <c r="H30" s="113"/>
      <c r="I30" s="113"/>
      <c r="J30" s="113"/>
    </row>
    <row r="31" spans="2:12" ht="24.75" hidden="1" customHeight="1" x14ac:dyDescent="0.2">
      <c r="C31" s="461" t="s">
        <v>754</v>
      </c>
      <c r="D31" s="459"/>
      <c r="E31" s="458">
        <f>-E19</f>
        <v>-22098936.510000002</v>
      </c>
    </row>
    <row r="32" spans="2:12" ht="24.75" hidden="1" customHeight="1" thickBot="1" x14ac:dyDescent="0.25">
      <c r="C32" s="458" t="s">
        <v>242</v>
      </c>
      <c r="D32" s="459"/>
      <c r="E32" s="462">
        <f>SUM(E26:E31)</f>
        <v>22362403.049999986</v>
      </c>
      <c r="J32" s="21"/>
    </row>
    <row r="33" spans="5:5" ht="24.75" hidden="1" customHeight="1" thickTop="1" x14ac:dyDescent="0.2">
      <c r="E33" s="29"/>
    </row>
    <row r="34" spans="5:5" ht="24.75" customHeight="1" x14ac:dyDescent="0.25">
      <c r="E34" s="576"/>
    </row>
    <row r="35" spans="5:5" ht="24.75" customHeight="1" x14ac:dyDescent="0.25">
      <c r="E35" s="576"/>
    </row>
    <row r="36" spans="5:5" ht="24.75" customHeight="1" x14ac:dyDescent="0.25">
      <c r="E36" s="576"/>
    </row>
    <row r="37" spans="5:5" ht="24.75" customHeight="1" x14ac:dyDescent="0.25">
      <c r="E37" s="576"/>
    </row>
    <row r="38" spans="5:5" ht="24.75" customHeight="1" x14ac:dyDescent="0.2">
      <c r="E38" s="29"/>
    </row>
    <row r="39" spans="5:5" ht="24.75" customHeight="1" x14ac:dyDescent="0.2">
      <c r="E39" s="29"/>
    </row>
    <row r="40" spans="5:5" ht="24.75" customHeight="1" x14ac:dyDescent="0.2">
      <c r="E40" s="29"/>
    </row>
    <row r="41" spans="5:5" ht="24.75" customHeight="1" x14ac:dyDescent="0.2">
      <c r="E41" s="29"/>
    </row>
  </sheetData>
  <mergeCells count="4">
    <mergeCell ref="B8:J8"/>
    <mergeCell ref="B9:J9"/>
    <mergeCell ref="B6:J6"/>
    <mergeCell ref="B7:J7"/>
  </mergeCells>
  <pageMargins left="0.19685039370078741" right="0.19685039370078741" top="0.74803149606299213" bottom="0.74803149606299213" header="0.31496062992125984" footer="0.31496062992125984"/>
  <pageSetup scale="57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7"/>
  <dimension ref="B1:H122"/>
  <sheetViews>
    <sheetView view="pageBreakPreview" topLeftCell="A93" zoomScale="120" zoomScaleNormal="100" zoomScaleSheetLayoutView="120" workbookViewId="0">
      <selection activeCell="C122" sqref="A91:C122"/>
    </sheetView>
  </sheetViews>
  <sheetFormatPr baseColWidth="10" defaultColWidth="9.140625" defaultRowHeight="24.75" customHeight="1" x14ac:dyDescent="0.2"/>
  <cols>
    <col min="1" max="1" width="4.28515625" style="4" customWidth="1"/>
    <col min="2" max="2" width="60.7109375" style="4" customWidth="1"/>
    <col min="3" max="3" width="23.42578125" style="4" customWidth="1"/>
    <col min="4" max="4" width="2.140625" style="4" customWidth="1"/>
    <col min="5" max="5" width="23.85546875" style="4" customWidth="1"/>
    <col min="6" max="6" width="22" style="4" bestFit="1" customWidth="1"/>
    <col min="7" max="7" width="16.85546875" style="4" customWidth="1"/>
    <col min="8" max="8" width="12.42578125" style="4" customWidth="1"/>
    <col min="9" max="16384" width="9.140625" style="4"/>
  </cols>
  <sheetData>
    <row r="1" spans="2:7" ht="24.75" customHeight="1" x14ac:dyDescent="0.2">
      <c r="C1" s="29"/>
      <c r="D1" s="29"/>
      <c r="E1" s="29"/>
    </row>
    <row r="2" spans="2:7" ht="24.75" customHeight="1" x14ac:dyDescent="0.25">
      <c r="B2" s="40"/>
      <c r="C2" s="40"/>
      <c r="D2" s="40"/>
      <c r="E2" s="40"/>
    </row>
    <row r="3" spans="2:7" ht="24.75" customHeight="1" x14ac:dyDescent="0.25">
      <c r="B3" s="632" t="s">
        <v>456</v>
      </c>
      <c r="C3" s="632"/>
      <c r="D3" s="40"/>
      <c r="E3" s="40"/>
    </row>
    <row r="4" spans="2:7" ht="24.75" customHeight="1" x14ac:dyDescent="0.25">
      <c r="B4" s="632" t="s">
        <v>223</v>
      </c>
      <c r="C4" s="632"/>
      <c r="D4" s="40"/>
      <c r="E4" s="40"/>
    </row>
    <row r="5" spans="2:7" ht="24.75" customHeight="1" x14ac:dyDescent="0.25">
      <c r="B5" s="632" t="s">
        <v>457</v>
      </c>
      <c r="C5" s="632"/>
      <c r="D5" s="40"/>
      <c r="E5" s="40"/>
    </row>
    <row r="6" spans="2:7" ht="24.75" customHeight="1" x14ac:dyDescent="0.25">
      <c r="B6" s="648">
        <v>45930</v>
      </c>
      <c r="C6" s="648"/>
      <c r="D6" s="166"/>
      <c r="F6" s="5"/>
      <c r="G6" s="113"/>
    </row>
    <row r="7" spans="2:7" ht="24.75" customHeight="1" thickBot="1" x14ac:dyDescent="0.3">
      <c r="B7" s="119"/>
      <c r="C7" s="375"/>
      <c r="D7" s="360"/>
      <c r="F7" s="5"/>
      <c r="G7" s="29"/>
    </row>
    <row r="8" spans="2:7" ht="24.75" customHeight="1" thickBot="1" x14ac:dyDescent="0.3">
      <c r="B8" s="217" t="s">
        <v>215</v>
      </c>
      <c r="C8" s="206" t="s">
        <v>226</v>
      </c>
      <c r="D8" s="360"/>
      <c r="F8" s="5"/>
      <c r="G8" s="29"/>
    </row>
    <row r="9" spans="2:7" ht="24.75" customHeight="1" x14ac:dyDescent="0.25">
      <c r="B9" s="544" t="s">
        <v>845</v>
      </c>
      <c r="C9" s="505">
        <v>2151709.7000000002</v>
      </c>
      <c r="D9" s="360"/>
      <c r="E9" s="362"/>
      <c r="F9" s="5"/>
      <c r="G9" s="113"/>
    </row>
    <row r="10" spans="2:7" ht="24.75" customHeight="1" x14ac:dyDescent="0.25">
      <c r="B10" s="621" t="s">
        <v>851</v>
      </c>
      <c r="C10" s="374">
        <v>5940</v>
      </c>
      <c r="D10" s="360"/>
      <c r="E10" s="362"/>
      <c r="F10" s="5"/>
      <c r="G10" s="113"/>
    </row>
    <row r="11" spans="2:7" ht="24.75" customHeight="1" x14ac:dyDescent="0.25">
      <c r="B11" s="621" t="s">
        <v>846</v>
      </c>
      <c r="C11" s="374">
        <v>368874</v>
      </c>
      <c r="D11" s="360"/>
      <c r="E11" s="362"/>
      <c r="F11" s="5"/>
      <c r="G11" s="113"/>
    </row>
    <row r="12" spans="2:7" ht="24.75" customHeight="1" x14ac:dyDescent="0.25">
      <c r="B12" s="363" t="s">
        <v>112</v>
      </c>
      <c r="C12" s="374">
        <f>570257.47-239369.95</f>
        <v>330887.51999999996</v>
      </c>
      <c r="D12" s="360"/>
      <c r="E12" s="331"/>
      <c r="F12" s="457"/>
      <c r="G12" s="29"/>
    </row>
    <row r="13" spans="2:7" ht="24.75" customHeight="1" x14ac:dyDescent="0.2">
      <c r="B13" s="363" t="s">
        <v>113</v>
      </c>
      <c r="C13" s="374">
        <v>119586.88</v>
      </c>
      <c r="D13" s="376"/>
      <c r="E13" s="331"/>
      <c r="F13" s="5"/>
      <c r="G13" s="113"/>
    </row>
    <row r="14" spans="2:7" ht="24" customHeight="1" x14ac:dyDescent="0.25">
      <c r="B14" s="127" t="s">
        <v>772</v>
      </c>
      <c r="C14" s="506">
        <v>55000</v>
      </c>
      <c r="D14" s="360"/>
      <c r="E14" s="468"/>
      <c r="F14" s="5"/>
      <c r="G14" s="29"/>
    </row>
    <row r="15" spans="2:7" ht="24.75" customHeight="1" x14ac:dyDescent="0.25">
      <c r="B15" s="127" t="s">
        <v>114</v>
      </c>
      <c r="C15" s="374">
        <f>34794.17+50</f>
        <v>34844.17</v>
      </c>
      <c r="D15" s="360"/>
      <c r="E15" s="331"/>
      <c r="F15" s="5"/>
      <c r="G15" s="29"/>
    </row>
    <row r="16" spans="2:7" ht="24" customHeight="1" x14ac:dyDescent="0.25">
      <c r="B16" s="127" t="s">
        <v>732</v>
      </c>
      <c r="C16" s="374">
        <v>2318063.35</v>
      </c>
      <c r="D16" s="360"/>
      <c r="E16" s="468"/>
      <c r="F16" s="5"/>
      <c r="G16" s="29"/>
    </row>
    <row r="17" spans="2:7" ht="24" customHeight="1" x14ac:dyDescent="0.35">
      <c r="B17" s="363" t="s">
        <v>634</v>
      </c>
      <c r="C17" s="364">
        <v>600011</v>
      </c>
      <c r="D17" s="360"/>
      <c r="F17" s="5"/>
      <c r="G17" s="113"/>
    </row>
    <row r="18" spans="2:7" ht="32.25" customHeight="1" x14ac:dyDescent="0.4">
      <c r="B18" s="365" t="s">
        <v>116</v>
      </c>
      <c r="C18" s="366">
        <f>SUM(C9:C17)</f>
        <v>5984916.6200000001</v>
      </c>
      <c r="D18" s="360"/>
      <c r="E18" s="29"/>
      <c r="G18" s="21"/>
    </row>
    <row r="19" spans="2:7" ht="24.75" customHeight="1" thickBot="1" x14ac:dyDescent="0.3">
      <c r="B19" s="135"/>
      <c r="C19" s="358"/>
      <c r="D19" s="360"/>
      <c r="E19" s="29"/>
    </row>
    <row r="20" spans="2:7" ht="24.75" customHeight="1" x14ac:dyDescent="0.25">
      <c r="C20" s="243"/>
      <c r="D20" s="360"/>
      <c r="E20" s="29"/>
    </row>
    <row r="21" spans="2:7" ht="24.75" customHeight="1" x14ac:dyDescent="0.35">
      <c r="C21" s="577"/>
      <c r="D21" s="360"/>
      <c r="E21" s="29"/>
    </row>
    <row r="22" spans="2:7" ht="24.75" customHeight="1" x14ac:dyDescent="0.2">
      <c r="C22" s="243"/>
      <c r="E22" s="29"/>
    </row>
    <row r="23" spans="2:7" ht="24.75" customHeight="1" x14ac:dyDescent="0.2">
      <c r="C23" s="243"/>
      <c r="E23" s="29"/>
    </row>
    <row r="24" spans="2:7" ht="24.75" customHeight="1" x14ac:dyDescent="0.2">
      <c r="C24" s="243"/>
      <c r="E24" s="29"/>
    </row>
    <row r="25" spans="2:7" ht="24.75" customHeight="1" x14ac:dyDescent="0.2">
      <c r="C25" s="243"/>
      <c r="E25" s="29"/>
    </row>
    <row r="26" spans="2:7" ht="24.75" customHeight="1" x14ac:dyDescent="0.2">
      <c r="C26" s="243"/>
      <c r="E26" s="29"/>
    </row>
    <row r="27" spans="2:7" ht="24.75" customHeight="1" x14ac:dyDescent="0.2">
      <c r="C27" s="243"/>
      <c r="E27" s="29"/>
    </row>
    <row r="28" spans="2:7" ht="24.75" customHeight="1" x14ac:dyDescent="0.2">
      <c r="C28" s="243"/>
      <c r="E28" s="29"/>
    </row>
    <row r="29" spans="2:7" ht="24.75" customHeight="1" x14ac:dyDescent="0.2">
      <c r="C29" s="243"/>
      <c r="E29" s="29"/>
    </row>
    <row r="30" spans="2:7" ht="24.75" customHeight="1" x14ac:dyDescent="0.2">
      <c r="C30" s="243"/>
      <c r="E30" s="29"/>
    </row>
    <row r="31" spans="2:7" ht="24.75" customHeight="1" x14ac:dyDescent="0.2">
      <c r="C31" s="29"/>
    </row>
    <row r="32" spans="2:7" ht="24.75" customHeight="1" x14ac:dyDescent="0.25">
      <c r="B32" s="632" t="str">
        <f>+B3</f>
        <v>NOTA 9</v>
      </c>
      <c r="C32" s="632"/>
    </row>
    <row r="33" spans="2:8" ht="24.75" customHeight="1" x14ac:dyDescent="0.25">
      <c r="B33" s="632" t="str">
        <f>+B4</f>
        <v>Cédula de detalle de cuentas</v>
      </c>
      <c r="C33" s="632"/>
    </row>
    <row r="34" spans="2:8" ht="24.75" customHeight="1" x14ac:dyDescent="0.25">
      <c r="B34" s="632" t="str">
        <f>+B5</f>
        <v xml:space="preserve">Cuentas por pagar </v>
      </c>
      <c r="C34" s="632"/>
      <c r="E34" s="377"/>
      <c r="F34" s="378"/>
      <c r="H34" s="29"/>
    </row>
    <row r="35" spans="2:8" ht="24.75" customHeight="1" x14ac:dyDescent="0.25">
      <c r="B35" s="648">
        <f>+B6</f>
        <v>45930</v>
      </c>
      <c r="C35" s="648"/>
      <c r="E35" s="377"/>
      <c r="F35" s="378"/>
      <c r="H35" s="26"/>
    </row>
    <row r="36" spans="2:8" ht="24.75" customHeight="1" thickBot="1" x14ac:dyDescent="0.25">
      <c r="E36" s="377"/>
      <c r="F36" s="378"/>
      <c r="H36" s="26"/>
    </row>
    <row r="37" spans="2:8" ht="24.75" customHeight="1" thickBot="1" x14ac:dyDescent="0.3">
      <c r="B37" s="217" t="s">
        <v>215</v>
      </c>
      <c r="C37" s="206" t="s">
        <v>226</v>
      </c>
      <c r="E37" s="377"/>
      <c r="F37" s="378"/>
      <c r="H37" s="26"/>
    </row>
    <row r="38" spans="2:8" ht="24.75" customHeight="1" x14ac:dyDescent="0.2">
      <c r="B38" s="367" t="s">
        <v>869</v>
      </c>
      <c r="C38" s="368">
        <v>140000</v>
      </c>
      <c r="E38" s="377"/>
      <c r="F38" s="378"/>
    </row>
    <row r="39" spans="2:8" ht="24.75" customHeight="1" x14ac:dyDescent="0.2">
      <c r="B39" s="361" t="s">
        <v>870</v>
      </c>
      <c r="C39" s="369">
        <v>430680</v>
      </c>
      <c r="E39" s="377"/>
      <c r="F39" s="378"/>
    </row>
    <row r="40" spans="2:8" ht="24.75" customHeight="1" x14ac:dyDescent="0.2">
      <c r="B40" s="361" t="s">
        <v>871</v>
      </c>
      <c r="C40" s="369">
        <v>51625</v>
      </c>
      <c r="E40" s="377"/>
      <c r="F40" s="378"/>
    </row>
    <row r="41" spans="2:8" ht="24.75" customHeight="1" x14ac:dyDescent="0.2">
      <c r="B41" s="361" t="s">
        <v>872</v>
      </c>
      <c r="C41" s="369">
        <v>1394.7</v>
      </c>
      <c r="E41" s="377"/>
      <c r="F41" s="378"/>
    </row>
    <row r="42" spans="2:8" ht="24.75" customHeight="1" x14ac:dyDescent="0.2">
      <c r="B42" s="361" t="s">
        <v>848</v>
      </c>
      <c r="C42" s="369">
        <v>278480</v>
      </c>
      <c r="E42" s="377"/>
      <c r="F42" s="378"/>
    </row>
    <row r="43" spans="2:8" ht="24.75" customHeight="1" x14ac:dyDescent="0.2">
      <c r="B43" s="363" t="s">
        <v>873</v>
      </c>
      <c r="C43" s="507">
        <v>6650</v>
      </c>
      <c r="E43" s="377"/>
      <c r="F43" s="378"/>
    </row>
    <row r="44" spans="2:8" ht="24.75" customHeight="1" x14ac:dyDescent="0.2">
      <c r="B44" s="363" t="s">
        <v>874</v>
      </c>
      <c r="C44" s="507">
        <v>1239000</v>
      </c>
      <c r="E44" s="377"/>
      <c r="F44" s="378"/>
    </row>
    <row r="45" spans="2:8" ht="24.75" customHeight="1" x14ac:dyDescent="0.2">
      <c r="B45" s="363" t="s">
        <v>875</v>
      </c>
      <c r="C45" s="371">
        <v>3880</v>
      </c>
      <c r="E45" s="377"/>
      <c r="F45" s="378"/>
    </row>
    <row r="46" spans="2:8" ht="25.5" customHeight="1" thickBot="1" x14ac:dyDescent="0.45">
      <c r="B46" s="157" t="s">
        <v>242</v>
      </c>
      <c r="C46" s="370">
        <f>SUM(C38:C45)</f>
        <v>2151709.7000000002</v>
      </c>
      <c r="E46" s="29"/>
    </row>
    <row r="47" spans="2:8" ht="15" customHeight="1" x14ac:dyDescent="0.2">
      <c r="C47" s="243"/>
      <c r="E47" s="29"/>
    </row>
    <row r="48" spans="2:8" ht="15" customHeight="1" x14ac:dyDescent="0.2">
      <c r="C48" s="243"/>
      <c r="E48" s="29"/>
    </row>
    <row r="49" spans="2:5" ht="15" x14ac:dyDescent="0.2">
      <c r="C49" s="243"/>
      <c r="E49" s="29"/>
    </row>
    <row r="50" spans="2:5" ht="21" customHeight="1" x14ac:dyDescent="0.25">
      <c r="B50" s="632" t="str">
        <f>+B32</f>
        <v>NOTA 9</v>
      </c>
      <c r="C50" s="632"/>
      <c r="E50" s="29"/>
    </row>
    <row r="51" spans="2:5" ht="20.45" customHeight="1" x14ac:dyDescent="0.25">
      <c r="B51" s="632" t="s">
        <v>223</v>
      </c>
      <c r="C51" s="632"/>
      <c r="E51" s="29"/>
    </row>
    <row r="52" spans="2:5" ht="19.149999999999999" customHeight="1" x14ac:dyDescent="0.25">
      <c r="B52" s="665" t="s">
        <v>880</v>
      </c>
      <c r="C52" s="665"/>
      <c r="E52" s="29"/>
    </row>
    <row r="53" spans="2:5" ht="21" customHeight="1" x14ac:dyDescent="0.25">
      <c r="B53" s="648">
        <f>+B6</f>
        <v>45930</v>
      </c>
      <c r="C53" s="648"/>
      <c r="E53" s="29"/>
    </row>
    <row r="54" spans="2:5" ht="15.75" thickBot="1" x14ac:dyDescent="0.25">
      <c r="C54" s="29"/>
      <c r="E54" s="29"/>
    </row>
    <row r="55" spans="2:5" ht="25.15" customHeight="1" thickBot="1" x14ac:dyDescent="0.3">
      <c r="B55" s="121" t="s">
        <v>215</v>
      </c>
      <c r="C55" s="123" t="s">
        <v>226</v>
      </c>
      <c r="E55" s="29"/>
    </row>
    <row r="56" spans="2:5" ht="21" customHeight="1" x14ac:dyDescent="0.25">
      <c r="B56" s="363" t="s">
        <v>876</v>
      </c>
      <c r="C56" s="507">
        <v>5940</v>
      </c>
      <c r="E56" s="579"/>
    </row>
    <row r="57" spans="2:5" ht="21" customHeight="1" x14ac:dyDescent="0.2">
      <c r="B57" s="363" t="s">
        <v>877</v>
      </c>
      <c r="C57" s="371">
        <v>368874</v>
      </c>
      <c r="E57" s="29"/>
    </row>
    <row r="58" spans="2:5" ht="21" customHeight="1" x14ac:dyDescent="0.4">
      <c r="B58" s="132" t="s">
        <v>420</v>
      </c>
      <c r="C58" s="302">
        <f>SUM(C56:C57)</f>
        <v>374814</v>
      </c>
      <c r="E58" s="29"/>
    </row>
    <row r="59" spans="2:5" ht="15" customHeight="1" thickBot="1" x14ac:dyDescent="0.25">
      <c r="B59" s="135"/>
      <c r="C59" s="358"/>
      <c r="E59" s="29"/>
    </row>
    <row r="60" spans="2:5" ht="15" customHeight="1" x14ac:dyDescent="0.2">
      <c r="C60" s="243"/>
      <c r="E60" s="29"/>
    </row>
    <row r="61" spans="2:5" ht="15" x14ac:dyDescent="0.2">
      <c r="C61" s="243"/>
      <c r="E61" s="29"/>
    </row>
    <row r="62" spans="2:5" ht="15" x14ac:dyDescent="0.2">
      <c r="C62" s="243"/>
      <c r="E62" s="29"/>
    </row>
    <row r="63" spans="2:5" ht="15" x14ac:dyDescent="0.2">
      <c r="C63" s="243"/>
      <c r="E63" s="29"/>
    </row>
    <row r="64" spans="2:5" ht="15" x14ac:dyDescent="0.2">
      <c r="C64" s="243"/>
      <c r="E64" s="29"/>
    </row>
    <row r="65" spans="2:5" ht="15" customHeight="1" x14ac:dyDescent="0.2">
      <c r="C65" s="243"/>
      <c r="E65" s="29"/>
    </row>
    <row r="66" spans="2:5" ht="15" customHeight="1" x14ac:dyDescent="0.2">
      <c r="C66" s="243"/>
      <c r="E66" s="29"/>
    </row>
    <row r="67" spans="2:5" ht="24.75" customHeight="1" x14ac:dyDescent="0.25">
      <c r="B67" s="632" t="str">
        <f>+B32</f>
        <v>NOTA 9</v>
      </c>
      <c r="C67" s="632"/>
    </row>
    <row r="68" spans="2:5" ht="24.75" customHeight="1" x14ac:dyDescent="0.25">
      <c r="B68" s="632" t="str">
        <f>+B33</f>
        <v>Cédula de detalle de cuentas</v>
      </c>
      <c r="C68" s="632"/>
    </row>
    <row r="69" spans="2:5" ht="24.75" customHeight="1" x14ac:dyDescent="0.25">
      <c r="B69" s="632" t="s">
        <v>458</v>
      </c>
      <c r="C69" s="632"/>
    </row>
    <row r="70" spans="2:5" ht="24.75" customHeight="1" x14ac:dyDescent="0.25">
      <c r="B70" s="648">
        <f>+B6</f>
        <v>45930</v>
      </c>
      <c r="C70" s="648"/>
    </row>
    <row r="71" spans="2:5" ht="21.75" customHeight="1" thickBot="1" x14ac:dyDescent="0.25">
      <c r="C71" s="29"/>
    </row>
    <row r="72" spans="2:5" ht="24.75" customHeight="1" thickBot="1" x14ac:dyDescent="0.3">
      <c r="B72" s="121" t="s">
        <v>215</v>
      </c>
      <c r="C72" s="123" t="s">
        <v>226</v>
      </c>
    </row>
    <row r="73" spans="2:5" ht="24.6" customHeight="1" x14ac:dyDescent="0.2">
      <c r="B73" s="363" t="s">
        <v>610</v>
      </c>
      <c r="C73" s="371">
        <v>330887.52</v>
      </c>
      <c r="D73" s="379"/>
      <c r="E73" s="380"/>
    </row>
    <row r="74" spans="2:5" ht="22.15" customHeight="1" x14ac:dyDescent="0.4">
      <c r="B74" s="132" t="s">
        <v>420</v>
      </c>
      <c r="C74" s="302">
        <f>SUM(C73:C73)</f>
        <v>330887.52</v>
      </c>
    </row>
    <row r="75" spans="2:5" ht="15.75" thickBot="1" x14ac:dyDescent="0.25">
      <c r="B75" s="135"/>
      <c r="C75" s="358"/>
      <c r="D75" s="26"/>
    </row>
    <row r="76" spans="2:5" ht="25.5" customHeight="1" x14ac:dyDescent="0.2">
      <c r="C76" s="21">
        <f>+C74-C12</f>
        <v>0</v>
      </c>
      <c r="D76" s="26"/>
    </row>
    <row r="77" spans="2:5" ht="15" x14ac:dyDescent="0.2">
      <c r="D77" s="26"/>
    </row>
    <row r="78" spans="2:5" ht="15" x14ac:dyDescent="0.2">
      <c r="C78" s="21"/>
      <c r="D78" s="26"/>
    </row>
    <row r="79" spans="2:5" ht="15" x14ac:dyDescent="0.2">
      <c r="D79" s="243"/>
    </row>
    <row r="80" spans="2:5" ht="18" customHeight="1" x14ac:dyDescent="0.2">
      <c r="D80" s="243"/>
    </row>
    <row r="81" spans="2:4" ht="24.75" customHeight="1" x14ac:dyDescent="0.25">
      <c r="B81" s="632" t="str">
        <f>+B104</f>
        <v>NOTA 9</v>
      </c>
      <c r="C81" s="632"/>
    </row>
    <row r="82" spans="2:4" ht="24.75" customHeight="1" x14ac:dyDescent="0.25">
      <c r="B82" s="632" t="s">
        <v>223</v>
      </c>
      <c r="C82" s="632"/>
    </row>
    <row r="83" spans="2:4" ht="24.75" customHeight="1" x14ac:dyDescent="0.25">
      <c r="B83" s="632" t="s">
        <v>772</v>
      </c>
      <c r="C83" s="632"/>
    </row>
    <row r="84" spans="2:4" ht="24.75" customHeight="1" x14ac:dyDescent="0.25">
      <c r="B84" s="648">
        <f>+B6</f>
        <v>45930</v>
      </c>
      <c r="C84" s="648"/>
    </row>
    <row r="85" spans="2:4" ht="24.75" customHeight="1" thickBot="1" x14ac:dyDescent="0.3">
      <c r="B85" s="119"/>
      <c r="C85" s="28"/>
    </row>
    <row r="86" spans="2:4" ht="24.75" customHeight="1" thickBot="1" x14ac:dyDescent="0.3">
      <c r="B86" s="121" t="s">
        <v>215</v>
      </c>
      <c r="C86" s="123" t="s">
        <v>226</v>
      </c>
    </row>
    <row r="87" spans="2:4" ht="22.9" customHeight="1" x14ac:dyDescent="0.35">
      <c r="B87" s="504" t="s">
        <v>893</v>
      </c>
      <c r="C87" s="301">
        <v>55000</v>
      </c>
    </row>
    <row r="88" spans="2:4" ht="18" x14ac:dyDescent="0.4">
      <c r="B88" s="127"/>
      <c r="C88" s="302">
        <f>SUM(C87:C87)</f>
        <v>55000</v>
      </c>
    </row>
    <row r="89" spans="2:4" ht="24.75" customHeight="1" thickBot="1" x14ac:dyDescent="0.3">
      <c r="B89" s="135"/>
      <c r="C89" s="441">
        <f>+C14-C88</f>
        <v>0</v>
      </c>
    </row>
    <row r="90" spans="2:4" ht="24.75" customHeight="1" x14ac:dyDescent="0.25">
      <c r="C90" s="160"/>
    </row>
    <row r="91" spans="2:4" ht="24.75" customHeight="1" x14ac:dyDescent="0.25">
      <c r="C91" s="160"/>
    </row>
    <row r="92" spans="2:4" ht="25.5" customHeight="1" x14ac:dyDescent="0.25">
      <c r="B92" s="632" t="str">
        <f>+B67</f>
        <v>NOTA 9</v>
      </c>
      <c r="C92" s="632"/>
      <c r="D92" s="29"/>
    </row>
    <row r="93" spans="2:4" ht="25.5" customHeight="1" x14ac:dyDescent="0.25">
      <c r="B93" s="632" t="str">
        <f>+B68</f>
        <v>Cédula de detalle de cuentas</v>
      </c>
      <c r="C93" s="632"/>
    </row>
    <row r="94" spans="2:4" ht="25.5" customHeight="1" x14ac:dyDescent="0.25">
      <c r="B94" s="632" t="s">
        <v>114</v>
      </c>
      <c r="C94" s="632"/>
    </row>
    <row r="95" spans="2:4" ht="25.5" customHeight="1" x14ac:dyDescent="0.25">
      <c r="B95" s="648">
        <f>+B6</f>
        <v>45930</v>
      </c>
      <c r="C95" s="648"/>
    </row>
    <row r="96" spans="2:4" ht="15.75" thickBot="1" x14ac:dyDescent="0.25"/>
    <row r="97" spans="2:3" ht="24.75" customHeight="1" thickBot="1" x14ac:dyDescent="0.3">
      <c r="B97" s="121" t="s">
        <v>215</v>
      </c>
      <c r="C97" s="123" t="s">
        <v>226</v>
      </c>
    </row>
    <row r="98" spans="2:3" ht="15" x14ac:dyDescent="0.2">
      <c r="B98" s="361" t="s">
        <v>878</v>
      </c>
      <c r="C98" s="622">
        <f>34794.17+50</f>
        <v>34844.17</v>
      </c>
    </row>
    <row r="99" spans="2:3" ht="21.6" customHeight="1" x14ac:dyDescent="0.4">
      <c r="B99" s="132" t="s">
        <v>420</v>
      </c>
      <c r="C99" s="302">
        <f>SUM(C98:C98)</f>
        <v>34844.17</v>
      </c>
    </row>
    <row r="100" spans="2:3" ht="15.75" thickBot="1" x14ac:dyDescent="0.25">
      <c r="B100" s="135"/>
      <c r="C100" s="358">
        <f>+C15-C99</f>
        <v>0</v>
      </c>
    </row>
    <row r="101" spans="2:3" ht="15" x14ac:dyDescent="0.2"/>
    <row r="102" spans="2:3" ht="15" x14ac:dyDescent="0.2">
      <c r="C102" s="21"/>
    </row>
    <row r="103" spans="2:3" ht="15" x14ac:dyDescent="0.2"/>
    <row r="104" spans="2:3" ht="24.75" customHeight="1" x14ac:dyDescent="0.25">
      <c r="B104" s="632" t="s">
        <v>456</v>
      </c>
      <c r="C104" s="632"/>
    </row>
    <row r="105" spans="2:3" ht="24.75" customHeight="1" x14ac:dyDescent="0.25">
      <c r="B105" s="632" t="s">
        <v>223</v>
      </c>
      <c r="C105" s="632"/>
    </row>
    <row r="106" spans="2:3" ht="24.75" customHeight="1" x14ac:dyDescent="0.25">
      <c r="B106" s="632" t="s">
        <v>732</v>
      </c>
      <c r="C106" s="632"/>
    </row>
    <row r="107" spans="2:3" ht="24.75" customHeight="1" thickBot="1" x14ac:dyDescent="0.3">
      <c r="B107" s="648">
        <v>45930</v>
      </c>
      <c r="C107" s="648"/>
    </row>
    <row r="108" spans="2:3" ht="24.75" customHeight="1" thickBot="1" x14ac:dyDescent="0.3">
      <c r="B108" s="121" t="s">
        <v>215</v>
      </c>
      <c r="C108" s="123" t="s">
        <v>226</v>
      </c>
    </row>
    <row r="109" spans="2:3" ht="24.75" hidden="1" customHeight="1" x14ac:dyDescent="0.2">
      <c r="B109" s="372" t="s">
        <v>735</v>
      </c>
      <c r="C109" s="373"/>
    </row>
    <row r="110" spans="2:3" ht="24.75" customHeight="1" x14ac:dyDescent="0.35">
      <c r="B110" s="363" t="s">
        <v>879</v>
      </c>
      <c r="C110" s="623">
        <v>2318063.35</v>
      </c>
    </row>
    <row r="111" spans="2:3" ht="24.75" customHeight="1" x14ac:dyDescent="0.4">
      <c r="B111" s="132" t="s">
        <v>420</v>
      </c>
      <c r="C111" s="302">
        <f>SUM(C109:C110)</f>
        <v>2318063.35</v>
      </c>
    </row>
    <row r="112" spans="2:3" ht="24.75" customHeight="1" thickBot="1" x14ac:dyDescent="0.25">
      <c r="B112" s="135"/>
      <c r="C112" s="358">
        <f>+C16-C111</f>
        <v>0</v>
      </c>
    </row>
    <row r="114" spans="2:3" ht="15" customHeight="1" x14ac:dyDescent="0.2"/>
    <row r="115" spans="2:3" ht="24.75" customHeight="1" x14ac:dyDescent="0.25">
      <c r="B115" s="632" t="s">
        <v>456</v>
      </c>
      <c r="C115" s="632"/>
    </row>
    <row r="116" spans="2:3" ht="24.75" customHeight="1" x14ac:dyDescent="0.25">
      <c r="B116" s="632" t="s">
        <v>223</v>
      </c>
      <c r="C116" s="632"/>
    </row>
    <row r="117" spans="2:3" ht="24.75" customHeight="1" x14ac:dyDescent="0.25">
      <c r="B117" s="632" t="s">
        <v>852</v>
      </c>
      <c r="C117" s="632"/>
    </row>
    <row r="118" spans="2:3" ht="24.75" customHeight="1" thickBot="1" x14ac:dyDescent="0.3">
      <c r="B118" s="648">
        <f>+B6</f>
        <v>45930</v>
      </c>
      <c r="C118" s="648"/>
    </row>
    <row r="119" spans="2:3" ht="24.75" customHeight="1" thickBot="1" x14ac:dyDescent="0.3">
      <c r="B119" s="121" t="s">
        <v>215</v>
      </c>
      <c r="C119" s="123" t="s">
        <v>226</v>
      </c>
    </row>
    <row r="120" spans="2:3" ht="24.75" customHeight="1" x14ac:dyDescent="0.2">
      <c r="B120" s="363" t="s">
        <v>853</v>
      </c>
      <c r="C120" s="374">
        <v>600011</v>
      </c>
    </row>
    <row r="121" spans="2:3" ht="24.75" customHeight="1" x14ac:dyDescent="0.4">
      <c r="B121" s="132" t="s">
        <v>420</v>
      </c>
      <c r="C121" s="302">
        <f>SUM(C120:C120)</f>
        <v>600011</v>
      </c>
    </row>
    <row r="122" spans="2:3" ht="16.5" customHeight="1" thickBot="1" x14ac:dyDescent="0.25">
      <c r="B122" s="135"/>
      <c r="C122" s="358"/>
    </row>
  </sheetData>
  <mergeCells count="32">
    <mergeCell ref="B3:C3"/>
    <mergeCell ref="B4:C4"/>
    <mergeCell ref="B5:C5"/>
    <mergeCell ref="B6:C6"/>
    <mergeCell ref="B67:C67"/>
    <mergeCell ref="B53:C53"/>
    <mergeCell ref="B50:C50"/>
    <mergeCell ref="B51:C51"/>
    <mergeCell ref="B52:C52"/>
    <mergeCell ref="B32:C32"/>
    <mergeCell ref="B33:C33"/>
    <mergeCell ref="B34:C34"/>
    <mergeCell ref="B35:C35"/>
    <mergeCell ref="B68:C68"/>
    <mergeCell ref="B95:C95"/>
    <mergeCell ref="B94:C94"/>
    <mergeCell ref="B104:C104"/>
    <mergeCell ref="B105:C105"/>
    <mergeCell ref="B69:C69"/>
    <mergeCell ref="B70:C70"/>
    <mergeCell ref="B92:C92"/>
    <mergeCell ref="B93:C93"/>
    <mergeCell ref="B81:C81"/>
    <mergeCell ref="B82:C82"/>
    <mergeCell ref="B83:C83"/>
    <mergeCell ref="B84:C84"/>
    <mergeCell ref="B106:C106"/>
    <mergeCell ref="B115:C115"/>
    <mergeCell ref="B116:C116"/>
    <mergeCell ref="B117:C117"/>
    <mergeCell ref="B118:C118"/>
    <mergeCell ref="B107:C107"/>
  </mergeCells>
  <pageMargins left="0.9055118110236221" right="0.70866141732283472" top="0.74803149606299213" bottom="0.74803149606299213" header="0.31496062992125984" footer="0.31496062992125984"/>
  <pageSetup orientation="portrait" r:id="rId1"/>
  <rowBreaks count="2" manualBreakCount="2">
    <brk id="64" max="2" man="1"/>
    <brk id="90" max="2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FE72-4F63-4CFA-8E3D-5CC06D82A2B3}">
  <sheetPr codeName="Hoja28"/>
  <dimension ref="B1:F57"/>
  <sheetViews>
    <sheetView view="pageBreakPreview" zoomScale="90" zoomScaleNormal="100" zoomScaleSheetLayoutView="90" workbookViewId="0">
      <selection activeCell="B50" sqref="B50"/>
    </sheetView>
  </sheetViews>
  <sheetFormatPr baseColWidth="10" defaultColWidth="9.140625" defaultRowHeight="24.75" customHeight="1" x14ac:dyDescent="0.2"/>
  <cols>
    <col min="1" max="1" width="4.85546875" style="4" customWidth="1"/>
    <col min="2" max="2" width="64.7109375" style="4" customWidth="1"/>
    <col min="3" max="4" width="25.28515625" style="4" customWidth="1"/>
    <col min="5" max="5" width="17.42578125" style="4" bestFit="1" customWidth="1"/>
    <col min="6" max="6" width="16.85546875" style="4" customWidth="1"/>
    <col min="7" max="7" width="12.42578125" style="4" customWidth="1"/>
    <col min="8" max="16384" width="9.140625" style="4"/>
  </cols>
  <sheetData>
    <row r="1" spans="2:6" ht="24.75" customHeight="1" x14ac:dyDescent="0.2">
      <c r="C1" s="29"/>
      <c r="D1" s="27"/>
    </row>
    <row r="2" spans="2:6" ht="24.75" customHeight="1" x14ac:dyDescent="0.25">
      <c r="B2" s="40"/>
      <c r="C2" s="40"/>
      <c r="D2" s="40"/>
    </row>
    <row r="3" spans="2:6" ht="24.75" customHeight="1" x14ac:dyDescent="0.25">
      <c r="B3" s="632" t="s">
        <v>459</v>
      </c>
      <c r="C3" s="632"/>
      <c r="D3" s="28"/>
    </row>
    <row r="4" spans="2:6" ht="24.75" customHeight="1" x14ac:dyDescent="0.25">
      <c r="B4" s="632" t="s">
        <v>223</v>
      </c>
      <c r="C4" s="632"/>
      <c r="D4" s="28"/>
    </row>
    <row r="5" spans="2:6" ht="24.75" customHeight="1" x14ac:dyDescent="0.25">
      <c r="B5" s="632" t="s">
        <v>460</v>
      </c>
      <c r="C5" s="632"/>
      <c r="D5" s="28"/>
    </row>
    <row r="6" spans="2:6" ht="24.75" customHeight="1" x14ac:dyDescent="0.25">
      <c r="B6" s="648">
        <v>45930</v>
      </c>
      <c r="C6" s="648"/>
      <c r="D6" s="118"/>
      <c r="E6" s="5"/>
      <c r="F6" s="113"/>
    </row>
    <row r="7" spans="2:6" ht="24.75" customHeight="1" thickBot="1" x14ac:dyDescent="0.3">
      <c r="B7" s="119"/>
      <c r="C7" s="375"/>
      <c r="D7" s="386"/>
      <c r="E7" s="5"/>
      <c r="F7" s="29"/>
    </row>
    <row r="8" spans="2:6" ht="33.75" customHeight="1" thickBot="1" x14ac:dyDescent="0.3">
      <c r="B8" s="381" t="s">
        <v>215</v>
      </c>
      <c r="C8" s="382" t="s">
        <v>226</v>
      </c>
      <c r="D8" s="28"/>
      <c r="E8" s="5"/>
      <c r="F8" s="29"/>
    </row>
    <row r="9" spans="2:6" ht="36.75" customHeight="1" x14ac:dyDescent="0.25">
      <c r="B9" s="582" t="s">
        <v>850</v>
      </c>
      <c r="C9" s="583">
        <v>343156.39</v>
      </c>
      <c r="D9" s="384"/>
    </row>
    <row r="10" spans="2:6" ht="36.75" customHeight="1" x14ac:dyDescent="0.4">
      <c r="B10" s="582" t="s">
        <v>864</v>
      </c>
      <c r="C10" s="584">
        <v>179161.86</v>
      </c>
      <c r="D10" s="384"/>
    </row>
    <row r="11" spans="2:6" ht="36.75" hidden="1" customHeight="1" x14ac:dyDescent="0.35">
      <c r="B11" s="383"/>
      <c r="C11" s="471"/>
      <c r="D11" s="384"/>
    </row>
    <row r="12" spans="2:6" ht="33" customHeight="1" x14ac:dyDescent="0.4">
      <c r="B12" s="365" t="s">
        <v>461</v>
      </c>
      <c r="C12" s="585">
        <f>SUM(C9:C11)</f>
        <v>522318.25</v>
      </c>
      <c r="D12" s="27"/>
    </row>
    <row r="13" spans="2:6" ht="24.75" customHeight="1" thickBot="1" x14ac:dyDescent="0.25">
      <c r="B13" s="135"/>
      <c r="C13" s="358"/>
      <c r="D13" s="27"/>
    </row>
    <row r="14" spans="2:6" ht="24.75" customHeight="1" x14ac:dyDescent="0.2">
      <c r="C14" s="243"/>
      <c r="D14" s="27"/>
    </row>
    <row r="15" spans="2:6" ht="24.75" customHeight="1" x14ac:dyDescent="0.2">
      <c r="C15" s="387"/>
      <c r="D15" s="27"/>
    </row>
    <row r="16" spans="2:6" ht="24.75" customHeight="1" x14ac:dyDescent="0.2">
      <c r="D16" s="27"/>
    </row>
    <row r="17" spans="4:5" ht="24.75" customHeight="1" x14ac:dyDescent="0.2">
      <c r="D17" s="27"/>
    </row>
    <row r="18" spans="4:5" ht="24.75" customHeight="1" x14ac:dyDescent="0.2">
      <c r="D18" s="27"/>
    </row>
    <row r="19" spans="4:5" ht="24.75" customHeight="1" x14ac:dyDescent="0.2">
      <c r="D19" s="27"/>
    </row>
    <row r="20" spans="4:5" ht="24.75" customHeight="1" x14ac:dyDescent="0.25">
      <c r="D20" s="477"/>
      <c r="E20" s="477"/>
    </row>
    <row r="21" spans="4:5" ht="24.75" customHeight="1" x14ac:dyDescent="0.25">
      <c r="D21" s="27"/>
      <c r="E21" s="477"/>
    </row>
    <row r="22" spans="4:5" ht="24.75" customHeight="1" x14ac:dyDescent="0.25">
      <c r="D22" s="27"/>
      <c r="E22" s="477"/>
    </row>
    <row r="23" spans="4:5" ht="24.75" customHeight="1" x14ac:dyDescent="0.25">
      <c r="D23" s="27"/>
      <c r="E23" s="477"/>
    </row>
    <row r="24" spans="4:5" ht="24.75" customHeight="1" x14ac:dyDescent="0.25">
      <c r="D24" s="29"/>
      <c r="E24" s="477"/>
    </row>
    <row r="25" spans="4:5" ht="24.75" customHeight="1" x14ac:dyDescent="0.25">
      <c r="D25" s="29"/>
      <c r="E25" s="477"/>
    </row>
    <row r="26" spans="4:5" ht="24.75" customHeight="1" x14ac:dyDescent="0.25">
      <c r="D26" s="29"/>
      <c r="E26" s="477"/>
    </row>
    <row r="27" spans="4:5" ht="24.75" customHeight="1" x14ac:dyDescent="0.25">
      <c r="D27" s="29"/>
      <c r="E27" s="477"/>
    </row>
    <row r="28" spans="4:5" ht="24.75" customHeight="1" x14ac:dyDescent="0.2">
      <c r="D28" s="27"/>
    </row>
    <row r="29" spans="4:5" ht="24.75" customHeight="1" x14ac:dyDescent="0.2">
      <c r="D29" s="27"/>
    </row>
    <row r="30" spans="4:5" ht="24.75" customHeight="1" x14ac:dyDescent="0.2">
      <c r="D30" s="27"/>
    </row>
    <row r="33" spans="2:3" ht="24.75" customHeight="1" x14ac:dyDescent="0.25">
      <c r="B33" s="628" t="str">
        <f>+B3</f>
        <v>NOTA 10</v>
      </c>
      <c r="C33" s="628"/>
    </row>
    <row r="34" spans="2:3" ht="24.75" customHeight="1" x14ac:dyDescent="0.25">
      <c r="B34" s="628" t="str">
        <f>+B4</f>
        <v>Cédula de detalle de cuentas</v>
      </c>
      <c r="C34" s="628"/>
    </row>
    <row r="35" spans="2:3" ht="24.75" customHeight="1" x14ac:dyDescent="0.25">
      <c r="B35" s="628" t="s">
        <v>881</v>
      </c>
      <c r="C35" s="628"/>
    </row>
    <row r="36" spans="2:3" ht="24.75" customHeight="1" x14ac:dyDescent="0.25">
      <c r="B36" s="648">
        <f>+B6</f>
        <v>45930</v>
      </c>
      <c r="C36" s="648"/>
    </row>
    <row r="37" spans="2:3" ht="24.75" customHeight="1" thickBot="1" x14ac:dyDescent="0.25"/>
    <row r="38" spans="2:3" ht="24.75" customHeight="1" thickBot="1" x14ac:dyDescent="0.25">
      <c r="B38" s="381" t="s">
        <v>215</v>
      </c>
      <c r="C38" s="382" t="s">
        <v>226</v>
      </c>
    </row>
    <row r="39" spans="2:3" ht="30" customHeight="1" x14ac:dyDescent="0.35">
      <c r="B39" s="383" t="s">
        <v>849</v>
      </c>
      <c r="C39" s="471">
        <v>343156.39</v>
      </c>
    </row>
    <row r="40" spans="2:3" ht="30" hidden="1" customHeight="1" x14ac:dyDescent="0.35">
      <c r="B40" s="361" t="s">
        <v>462</v>
      </c>
      <c r="C40" s="349"/>
    </row>
    <row r="41" spans="2:3" ht="29.25" customHeight="1" x14ac:dyDescent="0.4">
      <c r="B41" s="385" t="s">
        <v>420</v>
      </c>
      <c r="C41" s="366">
        <f>SUM(C39:C40)</f>
        <v>343156.39</v>
      </c>
    </row>
    <row r="42" spans="2:3" ht="24.75" customHeight="1" thickBot="1" x14ac:dyDescent="0.25">
      <c r="B42" s="135"/>
      <c r="C42" s="358"/>
    </row>
    <row r="43" spans="2:3" ht="24.75" customHeight="1" x14ac:dyDescent="0.2">
      <c r="B43" s="388"/>
      <c r="C43" s="21"/>
    </row>
    <row r="46" spans="2:3" ht="24.75" customHeight="1" x14ac:dyDescent="0.25">
      <c r="B46" s="628" t="str">
        <f>+B33</f>
        <v>NOTA 10</v>
      </c>
      <c r="C46" s="628"/>
    </row>
    <row r="47" spans="2:3" ht="24.75" customHeight="1" x14ac:dyDescent="0.25">
      <c r="B47" s="628" t="str">
        <f>+B34</f>
        <v>Cédula de detalle de cuentas</v>
      </c>
      <c r="C47" s="628"/>
    </row>
    <row r="48" spans="2:3" ht="24.75" customHeight="1" x14ac:dyDescent="0.25">
      <c r="B48" s="628" t="s">
        <v>882</v>
      </c>
      <c r="C48" s="628"/>
    </row>
    <row r="49" spans="2:3" ht="24.75" customHeight="1" x14ac:dyDescent="0.25">
      <c r="B49" s="669">
        <f>+B6</f>
        <v>45930</v>
      </c>
      <c r="C49" s="669"/>
    </row>
    <row r="50" spans="2:3" ht="24.75" customHeight="1" thickBot="1" x14ac:dyDescent="0.25"/>
    <row r="51" spans="2:3" ht="24.75" customHeight="1" thickBot="1" x14ac:dyDescent="0.25">
      <c r="B51" s="381" t="s">
        <v>215</v>
      </c>
      <c r="C51" s="382" t="s">
        <v>226</v>
      </c>
    </row>
    <row r="52" spans="2:3" ht="24.75" customHeight="1" x14ac:dyDescent="0.2">
      <c r="B52" s="383" t="s">
        <v>883</v>
      </c>
      <c r="C52" s="543">
        <v>125471.86</v>
      </c>
    </row>
    <row r="53" spans="2:3" ht="24.75" customHeight="1" x14ac:dyDescent="0.35">
      <c r="B53" s="361" t="s">
        <v>884</v>
      </c>
      <c r="C53" s="349">
        <v>53690</v>
      </c>
    </row>
    <row r="54" spans="2:3" ht="24.75" customHeight="1" x14ac:dyDescent="0.4">
      <c r="B54" s="385" t="s">
        <v>420</v>
      </c>
      <c r="C54" s="366">
        <f>SUM(C52:C53)</f>
        <v>179161.86</v>
      </c>
    </row>
    <row r="55" spans="2:3" ht="18" x14ac:dyDescent="0.4">
      <c r="B55" s="580"/>
      <c r="C55" s="581"/>
    </row>
    <row r="56" spans="2:3" ht="24.75" customHeight="1" thickBot="1" x14ac:dyDescent="0.25">
      <c r="B56" s="135"/>
      <c r="C56" s="358">
        <f>-C54+C10</f>
        <v>0</v>
      </c>
    </row>
    <row r="57" spans="2:3" ht="24.75" customHeight="1" x14ac:dyDescent="0.2">
      <c r="B57" s="388"/>
      <c r="C57" s="21"/>
    </row>
  </sheetData>
  <mergeCells count="12">
    <mergeCell ref="B46:C46"/>
    <mergeCell ref="B47:C47"/>
    <mergeCell ref="B48:C48"/>
    <mergeCell ref="B49:C49"/>
    <mergeCell ref="B34:C34"/>
    <mergeCell ref="B35:C35"/>
    <mergeCell ref="B36:C36"/>
    <mergeCell ref="B3:C3"/>
    <mergeCell ref="B4:C4"/>
    <mergeCell ref="B5:C5"/>
    <mergeCell ref="B6:C6"/>
    <mergeCell ref="B33:C33"/>
  </mergeCells>
  <pageMargins left="0.9055118110236221" right="0.31496062992125984" top="0.74803149606299213" bottom="0.74803149606299213" header="0.31496062992125984" footer="0.31496062992125984"/>
  <pageSetup scale="9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9"/>
  <dimension ref="A1:D57"/>
  <sheetViews>
    <sheetView view="pageBreakPreview" topLeftCell="A7" zoomScale="90" zoomScaleNormal="100" zoomScaleSheetLayoutView="90" workbookViewId="0">
      <selection activeCell="B16" sqref="B16"/>
    </sheetView>
  </sheetViews>
  <sheetFormatPr baseColWidth="10" defaultColWidth="9.140625" defaultRowHeight="24.75" customHeight="1" x14ac:dyDescent="0.2"/>
  <cols>
    <col min="1" max="1" width="57.5703125" style="4" customWidth="1"/>
    <col min="2" max="2" width="21.28515625" style="4" customWidth="1"/>
    <col min="3" max="3" width="23.7109375" style="4" bestFit="1" customWidth="1"/>
    <col min="4" max="4" width="18.7109375" style="4" bestFit="1" customWidth="1"/>
    <col min="5" max="6" width="12.5703125" style="4" bestFit="1" customWidth="1"/>
    <col min="7" max="7" width="2.140625" style="4" bestFit="1" customWidth="1"/>
    <col min="8" max="8" width="14.28515625" style="4" bestFit="1" customWidth="1"/>
    <col min="9" max="16384" width="9.140625" style="4"/>
  </cols>
  <sheetData>
    <row r="1" spans="1:4" ht="24.75" customHeight="1" x14ac:dyDescent="0.2">
      <c r="B1" s="29"/>
    </row>
    <row r="2" spans="1:4" ht="24.75" customHeight="1" x14ac:dyDescent="0.2">
      <c r="B2" s="376"/>
    </row>
    <row r="3" spans="1:4" ht="24.75" customHeight="1" x14ac:dyDescent="0.25">
      <c r="A3" s="632" t="s">
        <v>463</v>
      </c>
      <c r="B3" s="632"/>
    </row>
    <row r="4" spans="1:4" ht="24.75" customHeight="1" x14ac:dyDescent="0.25">
      <c r="A4" s="632" t="s">
        <v>223</v>
      </c>
      <c r="B4" s="632"/>
    </row>
    <row r="5" spans="1:4" ht="24.75" customHeight="1" x14ac:dyDescent="0.25">
      <c r="A5" s="632" t="s">
        <v>25</v>
      </c>
      <c r="B5" s="632"/>
    </row>
    <row r="6" spans="1:4" ht="24.75" customHeight="1" x14ac:dyDescent="0.25">
      <c r="A6" s="648">
        <v>45930</v>
      </c>
      <c r="B6" s="648"/>
    </row>
    <row r="7" spans="1:4" ht="24.75" customHeight="1" thickBot="1" x14ac:dyDescent="0.3">
      <c r="A7" s="119"/>
      <c r="B7" s="389"/>
    </row>
    <row r="8" spans="1:4" ht="24.75" customHeight="1" thickBot="1" x14ac:dyDescent="0.3">
      <c r="A8" s="121" t="s">
        <v>215</v>
      </c>
      <c r="B8" s="123" t="s">
        <v>226</v>
      </c>
    </row>
    <row r="9" spans="1:4" ht="24.75" customHeight="1" x14ac:dyDescent="0.35">
      <c r="A9" s="115" t="s">
        <v>464</v>
      </c>
      <c r="B9" s="472">
        <v>601205.85</v>
      </c>
      <c r="C9" s="469"/>
      <c r="D9" s="397"/>
    </row>
    <row r="10" spans="1:4" ht="24.75" customHeight="1" x14ac:dyDescent="0.3">
      <c r="A10" s="127" t="s">
        <v>465</v>
      </c>
      <c r="B10" s="472">
        <v>19060007.120000001</v>
      </c>
      <c r="D10" s="463"/>
    </row>
    <row r="11" spans="1:4" ht="24.75" customHeight="1" x14ac:dyDescent="0.25">
      <c r="A11" s="127" t="s">
        <v>466</v>
      </c>
      <c r="B11" s="473">
        <v>3239953.41</v>
      </c>
      <c r="C11" s="464"/>
    </row>
    <row r="12" spans="1:4" ht="24.75" customHeight="1" x14ac:dyDescent="0.35">
      <c r="A12" s="127" t="s">
        <v>467</v>
      </c>
      <c r="B12" s="474">
        <v>7054340.5899999999</v>
      </c>
    </row>
    <row r="13" spans="1:4" ht="24.75" customHeight="1" x14ac:dyDescent="0.4">
      <c r="A13" s="390" t="s">
        <v>242</v>
      </c>
      <c r="B13" s="302">
        <f>SUM(B9:B12)</f>
        <v>29955506.970000003</v>
      </c>
    </row>
    <row r="14" spans="1:4" ht="24.75" customHeight="1" thickBot="1" x14ac:dyDescent="0.25">
      <c r="A14" s="391"/>
      <c r="B14" s="303"/>
    </row>
    <row r="15" spans="1:4" ht="24.75" customHeight="1" x14ac:dyDescent="0.2">
      <c r="B15" s="29"/>
    </row>
    <row r="16" spans="1:4" ht="24.75" customHeight="1" x14ac:dyDescent="0.2">
      <c r="A16" s="4" t="s">
        <v>865</v>
      </c>
      <c r="B16" s="29">
        <f>+'NOTA 12-RETENCIONES X PAGAR'!B16</f>
        <v>2079987.8599999999</v>
      </c>
      <c r="C16" s="29"/>
    </row>
    <row r="17" spans="1:2" ht="24.75" customHeight="1" thickBot="1" x14ac:dyDescent="0.25">
      <c r="B17" s="578">
        <f>+B13+B16</f>
        <v>32035494.830000002</v>
      </c>
    </row>
    <row r="18" spans="1:2" ht="24.75" customHeight="1" thickTop="1" x14ac:dyDescent="0.2">
      <c r="B18" s="29"/>
    </row>
    <row r="19" spans="1:2" ht="24.75" customHeight="1" x14ac:dyDescent="0.2">
      <c r="B19" s="29"/>
    </row>
    <row r="20" spans="1:2" ht="24.75" customHeight="1" x14ac:dyDescent="0.2">
      <c r="B20" s="29"/>
    </row>
    <row r="21" spans="1:2" ht="24.75" customHeight="1" x14ac:dyDescent="0.2">
      <c r="B21" s="29"/>
    </row>
    <row r="22" spans="1:2" ht="24.75" customHeight="1" x14ac:dyDescent="0.2">
      <c r="B22" s="29"/>
    </row>
    <row r="23" spans="1:2" ht="24.75" customHeight="1" x14ac:dyDescent="0.2">
      <c r="B23" s="29"/>
    </row>
    <row r="24" spans="1:2" ht="24.75" customHeight="1" x14ac:dyDescent="0.2">
      <c r="B24" s="29"/>
    </row>
    <row r="25" spans="1:2" ht="24.75" customHeight="1" x14ac:dyDescent="0.2">
      <c r="B25" s="29"/>
    </row>
    <row r="26" spans="1:2" ht="24.75" customHeight="1" x14ac:dyDescent="0.25">
      <c r="A26" s="40"/>
      <c r="B26" s="40"/>
    </row>
    <row r="27" spans="1:2" ht="24.75" customHeight="1" x14ac:dyDescent="0.25">
      <c r="A27" s="40"/>
      <c r="B27" s="40"/>
    </row>
    <row r="28" spans="1:2" ht="24.75" customHeight="1" x14ac:dyDescent="0.25">
      <c r="A28" s="40"/>
      <c r="B28" s="40"/>
    </row>
    <row r="29" spans="1:2" ht="24.75" customHeight="1" x14ac:dyDescent="0.25">
      <c r="A29" s="40"/>
      <c r="B29" s="40"/>
    </row>
    <row r="30" spans="1:2" ht="24.75" customHeight="1" x14ac:dyDescent="0.25">
      <c r="A30" s="40"/>
      <c r="B30" s="40"/>
    </row>
    <row r="31" spans="1:2" ht="24.75" customHeight="1" x14ac:dyDescent="0.25">
      <c r="A31" s="40"/>
      <c r="B31" s="40"/>
    </row>
    <row r="32" spans="1:2" ht="24.75" customHeight="1" x14ac:dyDescent="0.25">
      <c r="A32" s="40"/>
      <c r="B32" s="40"/>
    </row>
    <row r="33" spans="1:4" ht="24.75" customHeight="1" x14ac:dyDescent="0.25">
      <c r="A33" s="40"/>
      <c r="B33" s="40"/>
    </row>
    <row r="34" spans="1:4" ht="24.75" customHeight="1" x14ac:dyDescent="0.25">
      <c r="A34" s="632" t="str">
        <f>+A3</f>
        <v>NOTA 11</v>
      </c>
      <c r="B34" s="632"/>
    </row>
    <row r="35" spans="1:4" ht="24.75" customHeight="1" x14ac:dyDescent="0.25">
      <c r="A35" s="632" t="str">
        <f>+A4</f>
        <v>Cédula de detalle de cuentas</v>
      </c>
      <c r="B35" s="632"/>
      <c r="C35" s="392"/>
    </row>
    <row r="36" spans="1:4" ht="24.75" customHeight="1" x14ac:dyDescent="0.25">
      <c r="A36" s="632" t="s">
        <v>468</v>
      </c>
      <c r="B36" s="632"/>
    </row>
    <row r="37" spans="1:4" ht="24.75" customHeight="1" x14ac:dyDescent="0.25">
      <c r="A37" s="648">
        <f>+A6</f>
        <v>45930</v>
      </c>
      <c r="B37" s="648"/>
    </row>
    <row r="38" spans="1:4" ht="24.75" customHeight="1" thickBot="1" x14ac:dyDescent="0.3">
      <c r="A38" s="119"/>
      <c r="B38" s="28"/>
    </row>
    <row r="39" spans="1:4" ht="24.75" customHeight="1" thickBot="1" x14ac:dyDescent="0.3">
      <c r="A39" s="121" t="s">
        <v>215</v>
      </c>
      <c r="B39" s="123" t="s">
        <v>226</v>
      </c>
      <c r="D39" s="398"/>
    </row>
    <row r="40" spans="1:4" ht="25.5" customHeight="1" x14ac:dyDescent="0.2">
      <c r="A40" s="124" t="s">
        <v>799</v>
      </c>
      <c r="B40" s="393">
        <v>13780.85</v>
      </c>
      <c r="D40" s="398"/>
    </row>
    <row r="41" spans="1:4" ht="25.5" customHeight="1" x14ac:dyDescent="0.2">
      <c r="A41" s="124" t="s">
        <v>847</v>
      </c>
      <c r="B41" s="393">
        <v>7600</v>
      </c>
      <c r="D41" s="398"/>
    </row>
    <row r="42" spans="1:4" ht="25.5" customHeight="1" x14ac:dyDescent="0.2">
      <c r="A42" s="394" t="s">
        <v>800</v>
      </c>
      <c r="B42" s="393">
        <v>47700</v>
      </c>
      <c r="D42" s="398"/>
    </row>
    <row r="43" spans="1:4" ht="25.5" customHeight="1" x14ac:dyDescent="0.35">
      <c r="A43" s="394" t="s">
        <v>801</v>
      </c>
      <c r="B43" s="395">
        <v>532125</v>
      </c>
      <c r="D43" s="398"/>
    </row>
    <row r="44" spans="1:4" ht="24.75" customHeight="1" x14ac:dyDescent="0.4">
      <c r="A44" s="127"/>
      <c r="B44" s="366">
        <f>SUM(B40:B43)</f>
        <v>601205.85</v>
      </c>
      <c r="D44" s="398"/>
    </row>
    <row r="45" spans="1:4" ht="24.75" customHeight="1" thickBot="1" x14ac:dyDescent="0.25">
      <c r="A45" s="135"/>
      <c r="B45" s="396">
        <f>+B9-B44</f>
        <v>0</v>
      </c>
      <c r="D45" s="399"/>
    </row>
    <row r="46" spans="1:4" ht="24.75" customHeight="1" x14ac:dyDescent="0.2">
      <c r="B46" s="29"/>
      <c r="D46" s="399"/>
    </row>
    <row r="47" spans="1:4" ht="24.75" customHeight="1" x14ac:dyDescent="0.2">
      <c r="B47" s="29"/>
      <c r="D47" s="399"/>
    </row>
    <row r="48" spans="1:4" ht="24.75" customHeight="1" x14ac:dyDescent="0.2">
      <c r="A48" s="399"/>
      <c r="B48" s="29"/>
      <c r="D48" s="399"/>
    </row>
    <row r="49" spans="2:4" ht="24.75" customHeight="1" x14ac:dyDescent="0.2">
      <c r="B49" s="29"/>
      <c r="D49" s="399"/>
    </row>
    <row r="50" spans="2:4" ht="24.75" customHeight="1" x14ac:dyDescent="0.2">
      <c r="B50" s="29"/>
    </row>
    <row r="51" spans="2:4" ht="24.75" customHeight="1" x14ac:dyDescent="0.2">
      <c r="B51" s="29"/>
    </row>
    <row r="52" spans="2:4" ht="24.75" customHeight="1" x14ac:dyDescent="0.2">
      <c r="B52" s="29"/>
    </row>
    <row r="53" spans="2:4" ht="24.75" customHeight="1" x14ac:dyDescent="0.2">
      <c r="B53" s="29"/>
    </row>
    <row r="54" spans="2:4" ht="24.75" customHeight="1" x14ac:dyDescent="0.2">
      <c r="B54" s="29"/>
    </row>
    <row r="55" spans="2:4" ht="24.75" customHeight="1" x14ac:dyDescent="0.2">
      <c r="B55" s="29"/>
    </row>
    <row r="56" spans="2:4" ht="24.75" customHeight="1" x14ac:dyDescent="0.2">
      <c r="B56" s="29"/>
    </row>
    <row r="57" spans="2:4" ht="24.75" customHeight="1" x14ac:dyDescent="0.2">
      <c r="B57" s="29"/>
    </row>
  </sheetData>
  <mergeCells count="8">
    <mergeCell ref="A36:B36"/>
    <mergeCell ref="A37:B37"/>
    <mergeCell ref="A35:B35"/>
    <mergeCell ref="A3:B3"/>
    <mergeCell ref="A4:B4"/>
    <mergeCell ref="A5:B5"/>
    <mergeCell ref="A6:B6"/>
    <mergeCell ref="A34:B34"/>
  </mergeCells>
  <phoneticPr fontId="75" type="noConversion"/>
  <printOptions horizontalCentered="1"/>
  <pageMargins left="0.51181102362204722" right="0.31496062992125984" top="0.74803149606299213" bottom="0.74803149606299213" header="0.31496062992125984" footer="0.31496062992125984"/>
  <pageSetup scale="94" orientation="portrait" r:id="rId1"/>
  <rowBreaks count="1" manualBreakCount="1">
    <brk id="57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0.39997558519241921"/>
  </sheetPr>
  <dimension ref="B1:I279"/>
  <sheetViews>
    <sheetView view="pageBreakPreview" topLeftCell="A127" zoomScale="80" zoomScaleNormal="100" zoomScaleSheetLayoutView="80" workbookViewId="0">
      <selection activeCell="B173" sqref="B173"/>
    </sheetView>
  </sheetViews>
  <sheetFormatPr baseColWidth="10" defaultColWidth="11.5703125" defaultRowHeight="15" x14ac:dyDescent="0.2"/>
  <cols>
    <col min="1" max="1" width="3.7109375" style="4" customWidth="1"/>
    <col min="2" max="2" width="74.7109375" style="4" customWidth="1"/>
    <col min="3" max="3" width="12.140625" style="5" customWidth="1"/>
    <col min="4" max="5" width="28.7109375" style="29" customWidth="1"/>
    <col min="6" max="6" width="24.7109375" style="29" bestFit="1" customWidth="1"/>
    <col min="7" max="7" width="15.42578125" style="4" bestFit="1" customWidth="1"/>
    <col min="8" max="8" width="20.28515625" style="29" bestFit="1" customWidth="1"/>
    <col min="9" max="9" width="11.5703125" style="4"/>
    <col min="10" max="10" width="21.5703125" style="4" bestFit="1" customWidth="1"/>
    <col min="11" max="16384" width="11.5703125" style="4"/>
  </cols>
  <sheetData>
    <row r="1" spans="2:6" x14ac:dyDescent="0.2">
      <c r="B1" s="93"/>
      <c r="C1" s="94"/>
      <c r="D1" s="11"/>
      <c r="E1" s="11"/>
      <c r="F1" s="11"/>
    </row>
    <row r="2" spans="2:6" x14ac:dyDescent="0.2">
      <c r="D2" s="4"/>
      <c r="E2" s="4"/>
      <c r="F2" s="4"/>
    </row>
    <row r="3" spans="2:6" x14ac:dyDescent="0.2">
      <c r="D3" s="4"/>
      <c r="E3" s="4"/>
      <c r="F3" s="4"/>
    </row>
    <row r="4" spans="2:6" x14ac:dyDescent="0.2">
      <c r="D4" s="4"/>
      <c r="E4" s="4"/>
      <c r="F4" s="4"/>
    </row>
    <row r="5" spans="2:6" x14ac:dyDescent="0.2">
      <c r="D5" s="4"/>
      <c r="E5" s="4"/>
      <c r="F5" s="4"/>
    </row>
    <row r="6" spans="2:6" ht="24.75" customHeight="1" x14ac:dyDescent="0.25">
      <c r="B6" s="40" t="s">
        <v>62</v>
      </c>
      <c r="C6" s="28"/>
      <c r="D6" s="40"/>
      <c r="E6" s="40"/>
      <c r="F6" s="40"/>
    </row>
    <row r="7" spans="2:6" ht="24.75" customHeight="1" x14ac:dyDescent="0.25">
      <c r="B7" s="7" t="s">
        <v>854</v>
      </c>
      <c r="C7" s="28"/>
      <c r="D7" s="40"/>
      <c r="E7" s="40"/>
      <c r="F7" s="40"/>
    </row>
    <row r="8" spans="2:6" ht="24.75" customHeight="1" x14ac:dyDescent="0.25">
      <c r="B8" s="40" t="s">
        <v>63</v>
      </c>
      <c r="C8" s="28"/>
      <c r="D8" s="40"/>
      <c r="E8" s="40"/>
      <c r="F8" s="40"/>
    </row>
    <row r="9" spans="2:6" ht="24.75" customHeight="1" x14ac:dyDescent="0.25">
      <c r="B9" s="40"/>
      <c r="C9" s="95" t="s">
        <v>4</v>
      </c>
      <c r="D9" s="95" t="s">
        <v>5</v>
      </c>
      <c r="E9" s="95" t="s">
        <v>6</v>
      </c>
      <c r="F9" s="95" t="s">
        <v>7</v>
      </c>
    </row>
    <row r="10" spans="2:6" ht="20.100000000000001" customHeight="1" x14ac:dyDescent="0.25">
      <c r="B10" s="40"/>
      <c r="C10" s="28"/>
      <c r="D10" s="40"/>
      <c r="E10" s="40"/>
      <c r="F10" s="40"/>
    </row>
    <row r="11" spans="2:6" ht="20.100000000000001" customHeight="1" x14ac:dyDescent="0.2">
      <c r="D11" s="4"/>
      <c r="E11" s="4"/>
      <c r="F11" s="4"/>
    </row>
    <row r="12" spans="2:6" ht="24.75" customHeight="1" x14ac:dyDescent="0.25">
      <c r="B12" s="40" t="s">
        <v>64</v>
      </c>
      <c r="C12" s="28">
        <v>1</v>
      </c>
      <c r="D12" s="4"/>
      <c r="E12" s="4"/>
      <c r="F12" s="4"/>
    </row>
    <row r="13" spans="2:6" ht="15.75" hidden="1" customHeight="1" x14ac:dyDescent="0.2">
      <c r="B13" s="4" t="s">
        <v>65</v>
      </c>
      <c r="D13" s="6">
        <f>+'Cédula Nota 1'!D9</f>
        <v>0</v>
      </c>
      <c r="E13" s="6">
        <v>0</v>
      </c>
      <c r="F13" s="6">
        <f t="shared" ref="F13:F18" si="0">D13-E13</f>
        <v>0</v>
      </c>
    </row>
    <row r="14" spans="2:6" ht="20.100000000000001" customHeight="1" x14ac:dyDescent="0.2">
      <c r="B14" s="4" t="s">
        <v>66</v>
      </c>
      <c r="D14" s="6">
        <f>+'Cédula Nota 1'!D10</f>
        <v>200000</v>
      </c>
      <c r="E14" s="6">
        <v>200000</v>
      </c>
      <c r="F14" s="6">
        <f t="shared" si="0"/>
        <v>0</v>
      </c>
    </row>
    <row r="15" spans="2:6" ht="20.100000000000001" customHeight="1" x14ac:dyDescent="0.2">
      <c r="B15" s="4" t="s">
        <v>760</v>
      </c>
      <c r="D15" s="6">
        <f>+'Cédula Nota 1'!D11</f>
        <v>389797475.81999999</v>
      </c>
      <c r="E15" s="6">
        <v>519417860.73000002</v>
      </c>
      <c r="F15" s="6">
        <f t="shared" si="0"/>
        <v>-129620384.91000003</v>
      </c>
    </row>
    <row r="16" spans="2:6" ht="20.100000000000001" customHeight="1" x14ac:dyDescent="0.2">
      <c r="B16" s="4" t="s">
        <v>761</v>
      </c>
      <c r="D16" s="6">
        <f>+'Cédula Nota 1'!D12</f>
        <v>45984.35</v>
      </c>
      <c r="E16" s="6">
        <v>46159.35</v>
      </c>
      <c r="F16" s="6">
        <f t="shared" si="0"/>
        <v>-175</v>
      </c>
    </row>
    <row r="17" spans="2:6" ht="20.100000000000001" customHeight="1" x14ac:dyDescent="0.2">
      <c r="B17" s="4" t="s">
        <v>763</v>
      </c>
      <c r="D17" s="6">
        <f>+'Cédula Nota 1'!D13</f>
        <v>17547.310000000001</v>
      </c>
      <c r="E17" s="6">
        <v>17547.310000000001</v>
      </c>
      <c r="F17" s="6">
        <f t="shared" si="0"/>
        <v>0</v>
      </c>
    </row>
    <row r="18" spans="2:6" ht="20.100000000000001" customHeight="1" x14ac:dyDescent="0.2">
      <c r="B18" s="4" t="s">
        <v>762</v>
      </c>
      <c r="D18" s="6">
        <f>+'Cédula Nota 1'!D14</f>
        <v>1010725.06</v>
      </c>
      <c r="E18" s="6">
        <v>1022130.8075000001</v>
      </c>
      <c r="F18" s="6">
        <f t="shared" si="0"/>
        <v>-11405.747500000056</v>
      </c>
    </row>
    <row r="19" spans="2:6" ht="20.100000000000001" customHeight="1" x14ac:dyDescent="0.2">
      <c r="C19" s="17" t="s">
        <v>743</v>
      </c>
      <c r="D19" s="6"/>
      <c r="E19" s="6"/>
      <c r="F19" s="6"/>
    </row>
    <row r="20" spans="2:6" ht="24" customHeight="1" x14ac:dyDescent="0.25">
      <c r="B20" s="40" t="s">
        <v>67</v>
      </c>
      <c r="C20" s="28" t="s">
        <v>68</v>
      </c>
      <c r="D20" s="66">
        <f>SUM(D13:D18)</f>
        <v>391071732.54000002</v>
      </c>
      <c r="E20" s="66">
        <f t="shared" ref="E20:F20" si="1">SUM(E13:E18)</f>
        <v>520703698.19750005</v>
      </c>
      <c r="F20" s="66">
        <f t="shared" si="1"/>
        <v>-129631965.65750003</v>
      </c>
    </row>
    <row r="21" spans="2:6" ht="20.100000000000001" customHeight="1" x14ac:dyDescent="0.2">
      <c r="C21" s="5" t="s">
        <v>68</v>
      </c>
      <c r="D21" s="6"/>
      <c r="E21" s="6"/>
      <c r="F21" s="6"/>
    </row>
    <row r="22" spans="2:6" ht="20.100000000000001" customHeight="1" x14ac:dyDescent="0.2">
      <c r="C22" s="5" t="s">
        <v>68</v>
      </c>
      <c r="D22" s="6"/>
      <c r="E22" s="6"/>
      <c r="F22" s="6"/>
    </row>
    <row r="23" spans="2:6" ht="24.75" customHeight="1" x14ac:dyDescent="0.25">
      <c r="B23" s="40" t="s">
        <v>733</v>
      </c>
      <c r="C23" s="28">
        <v>2</v>
      </c>
      <c r="D23" s="4"/>
      <c r="E23" s="4"/>
      <c r="F23" s="4"/>
    </row>
    <row r="24" spans="2:6" ht="21" customHeight="1" x14ac:dyDescent="0.2">
      <c r="B24" s="4" t="s">
        <v>764</v>
      </c>
      <c r="C24" s="5" t="s">
        <v>68</v>
      </c>
      <c r="D24" s="6">
        <f>+'Cédula Nota 2 '!E13</f>
        <v>1618213020.6100001</v>
      </c>
      <c r="E24" s="6">
        <v>1603460208.45</v>
      </c>
      <c r="F24" s="6">
        <f t="shared" ref="F24" si="2">D24-E24</f>
        <v>14752812.160000086</v>
      </c>
    </row>
    <row r="25" spans="2:6" ht="20.25" hidden="1" customHeight="1" x14ac:dyDescent="0.2">
      <c r="B25" s="4" t="s">
        <v>638</v>
      </c>
      <c r="D25" s="6">
        <v>0</v>
      </c>
      <c r="E25" s="6">
        <v>0</v>
      </c>
      <c r="F25" s="6">
        <f>D25-E25</f>
        <v>0</v>
      </c>
    </row>
    <row r="26" spans="2:6" ht="20.25" hidden="1" customHeight="1" x14ac:dyDescent="0.2">
      <c r="B26" s="4" t="s">
        <v>639</v>
      </c>
      <c r="C26" s="5" t="s">
        <v>68</v>
      </c>
      <c r="D26" s="6">
        <v>0</v>
      </c>
      <c r="E26" s="6">
        <v>0</v>
      </c>
      <c r="F26" s="6">
        <f>D26-E26</f>
        <v>0</v>
      </c>
    </row>
    <row r="27" spans="2:6" x14ac:dyDescent="0.2">
      <c r="C27" s="17" t="s">
        <v>743</v>
      </c>
      <c r="D27" s="6"/>
      <c r="E27" s="6"/>
      <c r="F27" s="6"/>
    </row>
    <row r="28" spans="2:6" ht="24" customHeight="1" x14ac:dyDescent="0.25">
      <c r="B28" s="40" t="s">
        <v>765</v>
      </c>
      <c r="C28" s="28" t="s">
        <v>68</v>
      </c>
      <c r="D28" s="66">
        <f>+D24</f>
        <v>1618213020.6100001</v>
      </c>
      <c r="E28" s="66">
        <f t="shared" ref="E28:F28" si="3">+E24</f>
        <v>1603460208.45</v>
      </c>
      <c r="F28" s="66">
        <f t="shared" si="3"/>
        <v>14752812.160000086</v>
      </c>
    </row>
    <row r="29" spans="2:6" ht="20.100000000000001" customHeight="1" x14ac:dyDescent="0.2">
      <c r="C29" s="5" t="s">
        <v>68</v>
      </c>
      <c r="D29" s="6"/>
      <c r="E29" s="6"/>
      <c r="F29" s="6"/>
    </row>
    <row r="30" spans="2:6" ht="20.100000000000001" customHeight="1" x14ac:dyDescent="0.2">
      <c r="C30" s="5" t="s">
        <v>68</v>
      </c>
      <c r="D30" s="96"/>
      <c r="E30" s="6"/>
      <c r="F30" s="6"/>
    </row>
    <row r="31" spans="2:6" ht="24.75" customHeight="1" x14ac:dyDescent="0.25">
      <c r="B31" s="40" t="s">
        <v>766</v>
      </c>
      <c r="C31" s="28">
        <v>3</v>
      </c>
      <c r="D31" s="4"/>
      <c r="E31" s="4"/>
      <c r="F31" s="4"/>
    </row>
    <row r="32" spans="2:6" ht="20.100000000000001" customHeight="1" x14ac:dyDescent="0.2">
      <c r="B32" s="4" t="s">
        <v>69</v>
      </c>
      <c r="C32" s="5" t="s">
        <v>68</v>
      </c>
      <c r="D32" s="29">
        <f>+'Nota 3 Resumen'!C9</f>
        <v>10305864.639999999</v>
      </c>
      <c r="E32" s="29">
        <v>10020151.159999998</v>
      </c>
      <c r="F32" s="6">
        <f t="shared" ref="F32:F35" si="4">D32-E32</f>
        <v>285713.48000000045</v>
      </c>
    </row>
    <row r="33" spans="2:8" ht="20.100000000000001" customHeight="1" x14ac:dyDescent="0.2">
      <c r="B33" s="4" t="s">
        <v>70</v>
      </c>
      <c r="C33" s="5" t="s">
        <v>68</v>
      </c>
      <c r="D33" s="29">
        <f>+'Nota 3 Resumen'!C10</f>
        <v>3851258.1399999997</v>
      </c>
      <c r="E33" s="29">
        <v>3355296.4899999998</v>
      </c>
      <c r="F33" s="6">
        <f t="shared" si="4"/>
        <v>495961.64999999991</v>
      </c>
    </row>
    <row r="34" spans="2:8" ht="20.100000000000001" customHeight="1" x14ac:dyDescent="0.2">
      <c r="B34" s="4" t="s">
        <v>71</v>
      </c>
      <c r="D34" s="29">
        <f>+'Nota 3 CxC Emplead'!H11</f>
        <v>113498.03</v>
      </c>
      <c r="E34" s="29">
        <v>32795</v>
      </c>
      <c r="F34" s="6">
        <f t="shared" si="4"/>
        <v>80703.03</v>
      </c>
    </row>
    <row r="35" spans="2:8" ht="20.100000000000001" customHeight="1" x14ac:dyDescent="0.2">
      <c r="B35" s="4" t="s">
        <v>72</v>
      </c>
      <c r="C35" s="5" t="s">
        <v>68</v>
      </c>
      <c r="D35" s="29">
        <f>+'Nota 3 Resumen'!C13</f>
        <v>80099.02</v>
      </c>
      <c r="E35" s="29">
        <v>370366.08999999997</v>
      </c>
      <c r="F35" s="6">
        <f t="shared" si="4"/>
        <v>-290267.06999999995</v>
      </c>
    </row>
    <row r="36" spans="2:8" x14ac:dyDescent="0.2">
      <c r="C36" s="17" t="s">
        <v>743</v>
      </c>
    </row>
    <row r="37" spans="2:8" ht="24" customHeight="1" x14ac:dyDescent="0.25">
      <c r="B37" s="40" t="s">
        <v>767</v>
      </c>
      <c r="C37" s="28" t="s">
        <v>68</v>
      </c>
      <c r="D37" s="66">
        <f>SUM(D32:D35)</f>
        <v>14350719.829999996</v>
      </c>
      <c r="E37" s="66">
        <f t="shared" ref="E37:F37" si="5">SUM(E32:E35)</f>
        <v>13778608.739999998</v>
      </c>
      <c r="F37" s="66">
        <f t="shared" si="5"/>
        <v>572111.09000000043</v>
      </c>
    </row>
    <row r="38" spans="2:8" ht="20.100000000000001" customHeight="1" x14ac:dyDescent="0.2">
      <c r="C38" s="5" t="s">
        <v>68</v>
      </c>
      <c r="D38" s="6"/>
      <c r="E38" s="6"/>
      <c r="F38" s="6"/>
    </row>
    <row r="39" spans="2:8" ht="20.100000000000001" customHeight="1" x14ac:dyDescent="0.2">
      <c r="C39" s="5" t="s">
        <v>68</v>
      </c>
      <c r="D39" s="6"/>
      <c r="E39" s="6"/>
      <c r="F39" s="6"/>
    </row>
    <row r="40" spans="2:8" ht="24.75" customHeight="1" x14ac:dyDescent="0.25">
      <c r="B40" s="40" t="s">
        <v>768</v>
      </c>
      <c r="C40" s="28">
        <v>4</v>
      </c>
      <c r="D40" s="4"/>
      <c r="E40" s="4"/>
      <c r="F40" s="4"/>
    </row>
    <row r="41" spans="2:8" ht="20.100000000000001" customHeight="1" x14ac:dyDescent="0.25">
      <c r="B41" s="4" t="s">
        <v>73</v>
      </c>
      <c r="C41" s="28"/>
      <c r="D41" s="6">
        <f>+'NOTA 4  INVENTARIO'!C18</f>
        <v>3383951.67</v>
      </c>
      <c r="E41" s="6">
        <v>3640892.5100000002</v>
      </c>
      <c r="F41" s="6">
        <f t="shared" ref="F41:F42" si="6">D41-E41</f>
        <v>-256940.84000000032</v>
      </c>
    </row>
    <row r="42" spans="2:8" ht="20.100000000000001" customHeight="1" x14ac:dyDescent="0.25">
      <c r="B42" s="4" t="s">
        <v>74</v>
      </c>
      <c r="C42" s="28"/>
      <c r="D42" s="6">
        <f>+'NOTA 4  INVENTARIO'!C28</f>
        <v>1254790.8500000001</v>
      </c>
      <c r="E42" s="6">
        <v>1255461.0900000001</v>
      </c>
      <c r="F42" s="6">
        <f t="shared" si="6"/>
        <v>-670.23999999999069</v>
      </c>
    </row>
    <row r="43" spans="2:8" ht="20.100000000000001" customHeight="1" x14ac:dyDescent="0.2">
      <c r="C43" s="17" t="s">
        <v>743</v>
      </c>
      <c r="D43" s="6"/>
      <c r="E43" s="6"/>
      <c r="F43" s="6"/>
    </row>
    <row r="44" spans="2:8" ht="24" customHeight="1" x14ac:dyDescent="0.25">
      <c r="B44" s="40" t="s">
        <v>769</v>
      </c>
      <c r="C44" s="28" t="s">
        <v>68</v>
      </c>
      <c r="D44" s="66">
        <f>SUM(D41:D42)</f>
        <v>4638742.5199999996</v>
      </c>
      <c r="E44" s="66">
        <f t="shared" ref="E44:F44" si="7">SUM(E41:E42)</f>
        <v>4896353.6000000006</v>
      </c>
      <c r="F44" s="66">
        <f t="shared" si="7"/>
        <v>-257611.08000000031</v>
      </c>
    </row>
    <row r="45" spans="2:8" ht="20.100000000000001" customHeight="1" x14ac:dyDescent="0.2">
      <c r="C45" s="97"/>
      <c r="D45" s="6"/>
      <c r="E45" s="6"/>
      <c r="F45" s="6"/>
    </row>
    <row r="46" spans="2:8" ht="20.100000000000001" customHeight="1" x14ac:dyDescent="0.2">
      <c r="C46" s="97"/>
      <c r="D46" s="6"/>
      <c r="E46" s="6"/>
      <c r="F46" s="6"/>
    </row>
    <row r="47" spans="2:8" ht="24.75" customHeight="1" x14ac:dyDescent="0.25">
      <c r="B47" s="40" t="s">
        <v>75</v>
      </c>
      <c r="C47" s="28">
        <v>5</v>
      </c>
      <c r="D47" s="4"/>
      <c r="E47" s="4"/>
      <c r="F47" s="4"/>
    </row>
    <row r="48" spans="2:8" ht="20.100000000000001" customHeight="1" x14ac:dyDescent="0.2">
      <c r="B48" s="4" t="s">
        <v>76</v>
      </c>
      <c r="D48" s="6">
        <f>+'NOTA 5  GPA'!D9</f>
        <v>82220.63</v>
      </c>
      <c r="E48" s="6">
        <v>164441.25</v>
      </c>
      <c r="F48" s="6">
        <f t="shared" ref="F48:F49" si="8">D48-E48</f>
        <v>-82220.62</v>
      </c>
      <c r="H48" s="98"/>
    </row>
    <row r="49" spans="2:8" ht="20.100000000000001" customHeight="1" x14ac:dyDescent="0.2">
      <c r="B49" s="4" t="s">
        <v>77</v>
      </c>
      <c r="D49" s="6">
        <f>+'NOTA 5  GPA'!D11+'NOTA 5  GPA'!D13+'NOTA 5  GPA'!D17</f>
        <v>2746974.9316666666</v>
      </c>
      <c r="E49" s="6">
        <v>3105839.7633333327</v>
      </c>
      <c r="F49" s="6">
        <f t="shared" si="8"/>
        <v>-358864.83166666608</v>
      </c>
      <c r="H49" s="98"/>
    </row>
    <row r="50" spans="2:8" ht="20.100000000000001" customHeight="1" x14ac:dyDescent="0.2">
      <c r="C50" s="17" t="s">
        <v>743</v>
      </c>
      <c r="D50" s="6"/>
      <c r="E50" s="6"/>
      <c r="F50" s="6"/>
    </row>
    <row r="51" spans="2:8" ht="24" customHeight="1" x14ac:dyDescent="0.25">
      <c r="B51" s="40" t="s">
        <v>78</v>
      </c>
      <c r="C51" s="28" t="s">
        <v>68</v>
      </c>
      <c r="D51" s="66">
        <f>SUM(D48:D49)</f>
        <v>2829195.5616666665</v>
      </c>
      <c r="E51" s="66">
        <f t="shared" ref="E51:F51" si="9">SUM(E48:E49)</f>
        <v>3270281.0133333327</v>
      </c>
      <c r="F51" s="66">
        <f t="shared" si="9"/>
        <v>-441085.45166666608</v>
      </c>
    </row>
    <row r="52" spans="2:8" ht="20.100000000000001" customHeight="1" x14ac:dyDescent="0.2">
      <c r="C52" s="5" t="s">
        <v>68</v>
      </c>
      <c r="D52" s="6"/>
      <c r="E52" s="6"/>
      <c r="F52" s="6"/>
    </row>
    <row r="53" spans="2:8" ht="20.100000000000001" customHeight="1" x14ac:dyDescent="0.2">
      <c r="D53" s="6"/>
      <c r="E53" s="6"/>
      <c r="F53" s="6"/>
    </row>
    <row r="54" spans="2:8" ht="24.75" customHeight="1" x14ac:dyDescent="0.25">
      <c r="B54" s="40" t="s">
        <v>79</v>
      </c>
      <c r="C54" s="28">
        <v>6</v>
      </c>
      <c r="D54" s="4"/>
      <c r="E54" s="4"/>
      <c r="F54" s="4"/>
    </row>
    <row r="55" spans="2:8" ht="20.100000000000001" customHeight="1" x14ac:dyDescent="0.25">
      <c r="B55" s="4" t="s">
        <v>80</v>
      </c>
      <c r="C55" s="28"/>
      <c r="D55" s="6">
        <v>695349700</v>
      </c>
      <c r="E55" s="6">
        <v>695349700</v>
      </c>
      <c r="F55" s="6">
        <f t="shared" ref="F55:F57" si="10">D55-E55</f>
        <v>0</v>
      </c>
    </row>
    <row r="56" spans="2:8" ht="20.100000000000001" customHeight="1" x14ac:dyDescent="0.2">
      <c r="B56" s="4" t="s">
        <v>81</v>
      </c>
      <c r="C56" s="99"/>
      <c r="D56" s="6">
        <f>+-309771035.29+-49893711.42</f>
        <v>-359664746.71000004</v>
      </c>
      <c r="E56" s="6">
        <v>-359664746.71000004</v>
      </c>
      <c r="F56" s="6">
        <f t="shared" si="10"/>
        <v>0</v>
      </c>
    </row>
    <row r="57" spans="2:8" ht="20.100000000000001" customHeight="1" x14ac:dyDescent="0.25">
      <c r="B57" s="4" t="s">
        <v>82</v>
      </c>
      <c r="C57" s="100"/>
      <c r="D57" s="101">
        <v>34767485</v>
      </c>
      <c r="E57" s="101">
        <v>34767485</v>
      </c>
      <c r="F57" s="101">
        <f t="shared" si="10"/>
        <v>0</v>
      </c>
    </row>
    <row r="58" spans="2:8" ht="24.75" customHeight="1" x14ac:dyDescent="0.25">
      <c r="B58" s="40" t="s">
        <v>83</v>
      </c>
      <c r="C58" s="28"/>
      <c r="D58" s="66">
        <f>SUM(D55:D57)</f>
        <v>370452438.28999996</v>
      </c>
      <c r="E58" s="66">
        <f t="shared" ref="E58:F58" si="11">SUM(E55:E57)</f>
        <v>370452438.28999996</v>
      </c>
      <c r="F58" s="66">
        <f t="shared" si="11"/>
        <v>0</v>
      </c>
    </row>
    <row r="59" spans="2:8" ht="20.100000000000001" customHeight="1" x14ac:dyDescent="0.25">
      <c r="B59" s="102"/>
      <c r="C59" s="28"/>
      <c r="D59" s="103"/>
      <c r="E59" s="103"/>
      <c r="F59" s="103"/>
    </row>
    <row r="60" spans="2:8" ht="20.100000000000001" customHeight="1" x14ac:dyDescent="0.25">
      <c r="C60" s="28"/>
      <c r="D60" s="6"/>
      <c r="E60" s="103"/>
      <c r="F60" s="6"/>
    </row>
    <row r="61" spans="2:8" ht="20.100000000000001" customHeight="1" x14ac:dyDescent="0.2">
      <c r="B61" s="4" t="s">
        <v>84</v>
      </c>
      <c r="C61" s="5" t="s">
        <v>68</v>
      </c>
      <c r="D61" s="6">
        <v>2816310100</v>
      </c>
      <c r="E61" s="6">
        <v>2816310100</v>
      </c>
      <c r="F61" s="6">
        <f t="shared" ref="F61:F63" si="12">D61-E61</f>
        <v>0</v>
      </c>
    </row>
    <row r="62" spans="2:8" ht="20.100000000000001" customHeight="1" x14ac:dyDescent="0.2">
      <c r="B62" s="4" t="s">
        <v>81</v>
      </c>
      <c r="D62" s="6">
        <f>989942533.2-676148765+60653227.05+18947380.94-601254660.41</f>
        <v>-207860284.21999991</v>
      </c>
      <c r="E62" s="6">
        <v>-207860284.21999991</v>
      </c>
      <c r="F62" s="6">
        <f t="shared" si="12"/>
        <v>0</v>
      </c>
    </row>
    <row r="63" spans="2:8" ht="20.100000000000001" customHeight="1" x14ac:dyDescent="0.2">
      <c r="B63" s="4" t="s">
        <v>82</v>
      </c>
      <c r="C63" s="104"/>
      <c r="D63" s="101">
        <v>281631010.64999998</v>
      </c>
      <c r="E63" s="101">
        <v>281631010.64999998</v>
      </c>
      <c r="F63" s="101">
        <f t="shared" si="12"/>
        <v>0</v>
      </c>
    </row>
    <row r="64" spans="2:8" ht="20.100000000000001" customHeight="1" x14ac:dyDescent="0.25">
      <c r="B64" s="40" t="s">
        <v>85</v>
      </c>
      <c r="C64" s="28"/>
      <c r="D64" s="66">
        <f>SUM(D61:D63)</f>
        <v>2890080826.4300003</v>
      </c>
      <c r="E64" s="66">
        <f>SUM(E61:E63)</f>
        <v>2890080826.4300003</v>
      </c>
      <c r="F64" s="66">
        <f>SUM(F61:F63)</f>
        <v>0</v>
      </c>
    </row>
    <row r="65" spans="2:6" ht="20.100000000000001" customHeight="1" x14ac:dyDescent="0.2">
      <c r="D65" s="6"/>
      <c r="E65" s="6"/>
      <c r="F65" s="6"/>
    </row>
    <row r="66" spans="2:6" ht="20.100000000000001" customHeight="1" x14ac:dyDescent="0.2">
      <c r="D66" s="6"/>
      <c r="E66" s="6"/>
      <c r="F66" s="6"/>
    </row>
    <row r="67" spans="2:6" ht="20.100000000000001" customHeight="1" x14ac:dyDescent="0.2">
      <c r="B67" s="4" t="s">
        <v>86</v>
      </c>
      <c r="D67" s="6">
        <f>251919000-444896373</f>
        <v>-192977373</v>
      </c>
      <c r="E67" s="6">
        <v>-192977373</v>
      </c>
      <c r="F67" s="6">
        <f t="shared" ref="F67:F69" si="13">D67-E67</f>
        <v>0</v>
      </c>
    </row>
    <row r="68" spans="2:6" ht="20.100000000000001" customHeight="1" x14ac:dyDescent="0.2">
      <c r="B68" s="4" t="s">
        <v>81</v>
      </c>
      <c r="D68" s="6">
        <f>2060843894.79+50287783.14-432406.57</f>
        <v>2110699271.3600001</v>
      </c>
      <c r="E68" s="6">
        <v>2110699271.3600001</v>
      </c>
      <c r="F68" s="6">
        <f t="shared" si="13"/>
        <v>0</v>
      </c>
    </row>
    <row r="69" spans="2:6" ht="20.100000000000001" customHeight="1" x14ac:dyDescent="0.2">
      <c r="B69" s="4" t="s">
        <v>82</v>
      </c>
      <c r="C69" s="104"/>
      <c r="D69" s="101">
        <v>25191900</v>
      </c>
      <c r="E69" s="101">
        <v>25191900</v>
      </c>
      <c r="F69" s="101">
        <f t="shared" si="13"/>
        <v>0</v>
      </c>
    </row>
    <row r="70" spans="2:6" ht="20.100000000000001" customHeight="1" x14ac:dyDescent="0.25">
      <c r="B70" s="40" t="s">
        <v>87</v>
      </c>
      <c r="C70" s="28"/>
      <c r="D70" s="66">
        <f>SUM(D67:D69)</f>
        <v>1942913798.3600001</v>
      </c>
      <c r="E70" s="66">
        <f>SUM(E67:E69)</f>
        <v>1942913798.3600001</v>
      </c>
      <c r="F70" s="66">
        <f>SUM(F67:F69)</f>
        <v>0</v>
      </c>
    </row>
    <row r="71" spans="2:6" ht="20.100000000000001" customHeight="1" x14ac:dyDescent="0.2">
      <c r="D71" s="6"/>
      <c r="E71" s="6"/>
      <c r="F71" s="6"/>
    </row>
    <row r="72" spans="2:6" ht="20.100000000000001" customHeight="1" x14ac:dyDescent="0.2">
      <c r="D72" s="6"/>
      <c r="E72" s="6"/>
      <c r="F72" s="6"/>
    </row>
    <row r="73" spans="2:6" ht="20.100000000000001" customHeight="1" x14ac:dyDescent="0.2">
      <c r="B73" s="4" t="s">
        <v>88</v>
      </c>
      <c r="D73" s="6">
        <v>2297250000</v>
      </c>
      <c r="E73" s="6">
        <v>2297250000</v>
      </c>
      <c r="F73" s="6">
        <f t="shared" ref="F73:F75" si="14">D73-E73</f>
        <v>0</v>
      </c>
    </row>
    <row r="74" spans="2:6" ht="20.100000000000001" customHeight="1" x14ac:dyDescent="0.2">
      <c r="B74" s="4" t="s">
        <v>81</v>
      </c>
      <c r="D74" s="6">
        <f>5858832680.62-78754498.23+143075753.46</f>
        <v>5923153935.8500004</v>
      </c>
      <c r="E74" s="6">
        <v>5923153935.8500004</v>
      </c>
      <c r="F74" s="6">
        <f t="shared" si="14"/>
        <v>0</v>
      </c>
    </row>
    <row r="75" spans="2:6" ht="20.100000000000001" customHeight="1" x14ac:dyDescent="0.2">
      <c r="B75" s="4" t="s">
        <v>82</v>
      </c>
      <c r="C75" s="104"/>
      <c r="D75" s="101">
        <v>229725000.47999999</v>
      </c>
      <c r="E75" s="101">
        <v>229725000.47999999</v>
      </c>
      <c r="F75" s="101">
        <f t="shared" si="14"/>
        <v>0</v>
      </c>
    </row>
    <row r="76" spans="2:6" ht="20.100000000000001" customHeight="1" x14ac:dyDescent="0.25">
      <c r="B76" s="40" t="s">
        <v>89</v>
      </c>
      <c r="C76" s="28"/>
      <c r="D76" s="66">
        <f>SUM(D73:D75)</f>
        <v>8450128936.3299999</v>
      </c>
      <c r="E76" s="66">
        <f>SUM(E73:E75)</f>
        <v>8450128936.3299999</v>
      </c>
      <c r="F76" s="66">
        <f>SUM(F73:F75)</f>
        <v>0</v>
      </c>
    </row>
    <row r="77" spans="2:6" ht="20.100000000000001" customHeight="1" x14ac:dyDescent="0.25">
      <c r="B77" s="102"/>
      <c r="D77" s="103"/>
      <c r="E77" s="103"/>
      <c r="F77" s="103"/>
    </row>
    <row r="78" spans="2:6" ht="20.100000000000001" customHeight="1" x14ac:dyDescent="0.2">
      <c r="D78" s="6"/>
      <c r="E78" s="6"/>
      <c r="F78" s="6"/>
    </row>
    <row r="79" spans="2:6" ht="20.100000000000001" customHeight="1" x14ac:dyDescent="0.2">
      <c r="B79" s="4" t="s">
        <v>90</v>
      </c>
      <c r="D79" s="25">
        <v>3240339500</v>
      </c>
      <c r="E79" s="6">
        <v>3240339500</v>
      </c>
      <c r="F79" s="6">
        <f t="shared" ref="F79:F80" si="15">D79-E79</f>
        <v>0</v>
      </c>
    </row>
    <row r="80" spans="2:6" ht="20.100000000000001" customHeight="1" x14ac:dyDescent="0.2">
      <c r="B80" s="4" t="s">
        <v>81</v>
      </c>
      <c r="D80" s="101">
        <v>-3240339500</v>
      </c>
      <c r="E80" s="101">
        <v>-3240339500</v>
      </c>
      <c r="F80" s="101">
        <f t="shared" si="15"/>
        <v>0</v>
      </c>
    </row>
    <row r="81" spans="2:9" ht="24.75" customHeight="1" x14ac:dyDescent="0.25">
      <c r="B81" s="40" t="s">
        <v>91</v>
      </c>
      <c r="C81" s="28"/>
      <c r="D81" s="66">
        <f>SUM(D79:D80)</f>
        <v>0</v>
      </c>
      <c r="E81" s="66">
        <f>SUM(E79:E80)</f>
        <v>0</v>
      </c>
      <c r="F81" s="66">
        <f>SUM(F79:F80)</f>
        <v>0</v>
      </c>
    </row>
    <row r="82" spans="2:9" ht="20.100000000000001" customHeight="1" x14ac:dyDescent="0.2">
      <c r="D82" s="6"/>
      <c r="E82" s="6"/>
      <c r="F82" s="6"/>
    </row>
    <row r="83" spans="2:9" ht="20.100000000000001" customHeight="1" x14ac:dyDescent="0.2">
      <c r="D83" s="6"/>
      <c r="E83" s="6"/>
      <c r="F83" s="6"/>
      <c r="I83" s="21"/>
    </row>
    <row r="84" spans="2:9" ht="20.100000000000001" customHeight="1" x14ac:dyDescent="0.2">
      <c r="B84" s="4" t="s">
        <v>92</v>
      </c>
      <c r="D84" s="25">
        <v>3475097800</v>
      </c>
      <c r="E84" s="6">
        <v>3475097800</v>
      </c>
      <c r="F84" s="6">
        <f t="shared" ref="F84:F85" si="16">D84-E84</f>
        <v>0</v>
      </c>
    </row>
    <row r="85" spans="2:9" ht="20.100000000000001" customHeight="1" x14ac:dyDescent="0.2">
      <c r="B85" s="4" t="s">
        <v>81</v>
      </c>
      <c r="D85" s="101">
        <v>-3475097800</v>
      </c>
      <c r="E85" s="101">
        <v>-3475097800</v>
      </c>
      <c r="F85" s="101">
        <f t="shared" si="16"/>
        <v>0</v>
      </c>
    </row>
    <row r="86" spans="2:9" ht="20.100000000000001" customHeight="1" x14ac:dyDescent="0.25">
      <c r="B86" s="40" t="s">
        <v>93</v>
      </c>
      <c r="C86" s="28"/>
      <c r="D86" s="66">
        <f>SUM(D84:D85)</f>
        <v>0</v>
      </c>
      <c r="E86" s="66">
        <f>SUM(E84:E85)</f>
        <v>0</v>
      </c>
      <c r="F86" s="66">
        <f>SUM(F84:F85)</f>
        <v>0</v>
      </c>
    </row>
    <row r="87" spans="2:9" ht="20.100000000000001" customHeight="1" x14ac:dyDescent="0.2">
      <c r="D87" s="6"/>
      <c r="E87" s="6"/>
      <c r="F87" s="6"/>
    </row>
    <row r="88" spans="2:9" ht="20.100000000000001" customHeight="1" x14ac:dyDescent="0.2">
      <c r="D88" s="6"/>
      <c r="E88" s="6"/>
      <c r="F88" s="6"/>
    </row>
    <row r="89" spans="2:9" ht="20.100000000000001" customHeight="1" x14ac:dyDescent="0.2">
      <c r="B89" s="4" t="s">
        <v>94</v>
      </c>
      <c r="D89" s="6">
        <v>3462816000</v>
      </c>
      <c r="E89" s="6">
        <v>3462816000</v>
      </c>
      <c r="F89" s="6">
        <f t="shared" ref="F89:F90" si="17">D89-E89</f>
        <v>0</v>
      </c>
    </row>
    <row r="90" spans="2:9" ht="20.100000000000001" customHeight="1" x14ac:dyDescent="0.2">
      <c r="B90" s="4" t="s">
        <v>81</v>
      </c>
      <c r="D90" s="101">
        <v>-3462816000</v>
      </c>
      <c r="E90" s="101">
        <v>-3462816000</v>
      </c>
      <c r="F90" s="101">
        <f t="shared" si="17"/>
        <v>0</v>
      </c>
    </row>
    <row r="91" spans="2:9" ht="20.100000000000001" customHeight="1" x14ac:dyDescent="0.25">
      <c r="B91" s="40" t="s">
        <v>95</v>
      </c>
      <c r="C91" s="28"/>
      <c r="D91" s="66">
        <f>SUM(D89:D90)</f>
        <v>0</v>
      </c>
      <c r="E91" s="66">
        <f>SUM(E89:E90)</f>
        <v>0</v>
      </c>
      <c r="F91" s="66">
        <f>SUM(F89:F90)</f>
        <v>0</v>
      </c>
    </row>
    <row r="92" spans="2:9" ht="20.100000000000001" customHeight="1" x14ac:dyDescent="0.25">
      <c r="B92" s="105"/>
      <c r="C92" s="28"/>
      <c r="D92" s="66"/>
      <c r="E92" s="66"/>
      <c r="F92" s="66"/>
    </row>
    <row r="93" spans="2:9" ht="20.100000000000001" customHeight="1" x14ac:dyDescent="0.25">
      <c r="B93" s="40"/>
      <c r="C93" s="28"/>
      <c r="D93" s="66"/>
      <c r="E93" s="66"/>
      <c r="F93" s="66"/>
    </row>
    <row r="94" spans="2:9" ht="39" customHeight="1" x14ac:dyDescent="0.2">
      <c r="B94" s="16" t="s">
        <v>641</v>
      </c>
      <c r="D94" s="6">
        <v>134998789</v>
      </c>
      <c r="E94" s="6">
        <v>134998789</v>
      </c>
      <c r="F94" s="6">
        <f t="shared" ref="F94:F95" si="18">D94-E94</f>
        <v>0</v>
      </c>
    </row>
    <row r="95" spans="2:9" ht="20.100000000000001" customHeight="1" x14ac:dyDescent="0.2">
      <c r="B95" s="4" t="s">
        <v>81</v>
      </c>
      <c r="D95" s="101">
        <f>1709914.86-5224504.5</f>
        <v>-3514589.6399999997</v>
      </c>
      <c r="E95" s="101">
        <v>-3514589.6399999997</v>
      </c>
      <c r="F95" s="101">
        <f t="shared" si="18"/>
        <v>0</v>
      </c>
    </row>
    <row r="96" spans="2:9" ht="20.100000000000001" customHeight="1" x14ac:dyDescent="0.25">
      <c r="B96" s="40" t="s">
        <v>640</v>
      </c>
      <c r="C96" s="28"/>
      <c r="D96" s="66">
        <f>SUM(D94:D95)</f>
        <v>131484199.36</v>
      </c>
      <c r="E96" s="66">
        <f>SUM(E94:E95)</f>
        <v>131484199.36</v>
      </c>
      <c r="F96" s="106">
        <f>+D96-E96</f>
        <v>0</v>
      </c>
    </row>
    <row r="97" spans="2:8" ht="20.100000000000001" customHeight="1" x14ac:dyDescent="0.25">
      <c r="B97" s="40"/>
      <c r="C97" s="28"/>
      <c r="D97" s="66"/>
      <c r="E97" s="66"/>
      <c r="F97" s="66"/>
    </row>
    <row r="98" spans="2:8" ht="20.100000000000001" customHeight="1" x14ac:dyDescent="0.25">
      <c r="B98" s="40"/>
      <c r="C98" s="28"/>
      <c r="D98" s="66"/>
      <c r="E98" s="66"/>
      <c r="F98" s="66"/>
    </row>
    <row r="99" spans="2:8" ht="30" customHeight="1" x14ac:dyDescent="0.2">
      <c r="B99" s="16" t="s">
        <v>642</v>
      </c>
      <c r="D99" s="6">
        <v>30000</v>
      </c>
      <c r="E99" s="6">
        <v>30000</v>
      </c>
      <c r="F99" s="6">
        <f t="shared" ref="F99:F100" si="19">D99-E99</f>
        <v>0</v>
      </c>
    </row>
    <row r="100" spans="2:8" ht="20.100000000000001" customHeight="1" x14ac:dyDescent="0.2">
      <c r="B100" s="4" t="s">
        <v>81</v>
      </c>
      <c r="D100" s="101">
        <v>0</v>
      </c>
      <c r="E100" s="101">
        <v>0</v>
      </c>
      <c r="F100" s="101">
        <f t="shared" si="19"/>
        <v>0</v>
      </c>
    </row>
    <row r="101" spans="2:8" ht="22.9" customHeight="1" x14ac:dyDescent="0.25">
      <c r="B101" s="40" t="s">
        <v>643</v>
      </c>
      <c r="C101" s="28"/>
      <c r="D101" s="66">
        <f>SUM(D99:D100)</f>
        <v>30000</v>
      </c>
      <c r="E101" s="66">
        <f>SUM(E99:E100)</f>
        <v>30000</v>
      </c>
      <c r="F101" s="106">
        <f>+D101-E101</f>
        <v>0</v>
      </c>
    </row>
    <row r="102" spans="2:8" ht="20.100000000000001" customHeight="1" x14ac:dyDescent="0.2">
      <c r="C102" s="17" t="s">
        <v>743</v>
      </c>
      <c r="D102" s="6"/>
      <c r="E102" s="6"/>
      <c r="F102" s="27"/>
    </row>
    <row r="103" spans="2:8" ht="24" customHeight="1" x14ac:dyDescent="0.25">
      <c r="B103" s="40" t="s">
        <v>96</v>
      </c>
      <c r="C103" s="28" t="s">
        <v>68</v>
      </c>
      <c r="D103" s="66">
        <f>+D58+D64+D70+D76+D81+D86+D91+D96+D101</f>
        <v>13785090198.77</v>
      </c>
      <c r="E103" s="66">
        <f>+E58+E64+E70+E76+E81+E86+E91+E96+E101</f>
        <v>13785090198.77</v>
      </c>
      <c r="F103" s="66">
        <f>+F58+F64+F70+F76+F81+F86+F91+F96+F101</f>
        <v>0</v>
      </c>
    </row>
    <row r="104" spans="2:8" ht="20.100000000000001" customHeight="1" x14ac:dyDescent="0.25">
      <c r="B104" s="40"/>
      <c r="D104" s="107"/>
      <c r="E104" s="103"/>
      <c r="F104" s="103"/>
      <c r="H104" s="98"/>
    </row>
    <row r="105" spans="2:8" ht="20.100000000000001" customHeight="1" x14ac:dyDescent="0.25">
      <c r="B105" s="108"/>
      <c r="C105" s="104"/>
      <c r="E105" s="103"/>
      <c r="F105" s="103"/>
    </row>
    <row r="106" spans="2:8" ht="24.75" customHeight="1" x14ac:dyDescent="0.25">
      <c r="B106" s="40" t="s">
        <v>97</v>
      </c>
      <c r="C106" s="28">
        <v>7</v>
      </c>
      <c r="D106" s="4"/>
      <c r="E106" s="4"/>
      <c r="F106" s="4"/>
      <c r="H106" s="1"/>
    </row>
    <row r="107" spans="2:8" ht="20.100000000000001" customHeight="1" x14ac:dyDescent="0.2">
      <c r="B107" s="4" t="s">
        <v>98</v>
      </c>
      <c r="D107" s="6">
        <f>+'NOTA 7-AVANCES A FUTURAS CAPIT'!B13</f>
        <v>473156800</v>
      </c>
      <c r="E107" s="6">
        <v>473156800</v>
      </c>
      <c r="F107" s="6">
        <f t="shared" ref="F107:F111" si="20">D107-E107</f>
        <v>0</v>
      </c>
      <c r="H107" s="1"/>
    </row>
    <row r="108" spans="2:8" ht="20.100000000000001" customHeight="1" x14ac:dyDescent="0.2">
      <c r="B108" s="4" t="s">
        <v>99</v>
      </c>
      <c r="D108" s="6">
        <f>+'NOTA 7-AVANCES A FUTURAS CAPIT'!B14</f>
        <v>496750000</v>
      </c>
      <c r="E108" s="6">
        <v>496750000</v>
      </c>
      <c r="F108" s="6">
        <f t="shared" si="20"/>
        <v>0</v>
      </c>
      <c r="H108" s="1"/>
    </row>
    <row r="109" spans="2:8" ht="20.100000000000001" customHeight="1" x14ac:dyDescent="0.2">
      <c r="B109" s="4" t="s">
        <v>100</v>
      </c>
      <c r="D109" s="6">
        <f>+'NOTA 7-AVANCES A FUTURAS CAPIT'!B15</f>
        <v>1366750000</v>
      </c>
      <c r="E109" s="6">
        <v>1266750000</v>
      </c>
      <c r="F109" s="6">
        <f t="shared" si="20"/>
        <v>100000000</v>
      </c>
      <c r="H109" s="1"/>
    </row>
    <row r="110" spans="2:8" ht="20.100000000000001" customHeight="1" x14ac:dyDescent="0.2">
      <c r="B110" s="4" t="s">
        <v>220</v>
      </c>
      <c r="D110" s="6">
        <f>+'NOTA 7-AVANCES A FUTURAS CAPIT'!B16</f>
        <v>200000000</v>
      </c>
      <c r="E110" s="6">
        <v>200000000</v>
      </c>
      <c r="F110" s="6">
        <f t="shared" si="20"/>
        <v>0</v>
      </c>
      <c r="H110" s="1"/>
    </row>
    <row r="111" spans="2:8" ht="20.100000000000001" customHeight="1" x14ac:dyDescent="0.2">
      <c r="B111" s="4" t="s">
        <v>734</v>
      </c>
      <c r="D111" s="6">
        <f>+'NOTA 7-AVANCES A FUTURAS CAPIT'!B17</f>
        <v>84100000</v>
      </c>
      <c r="E111" s="6">
        <v>84100000</v>
      </c>
      <c r="F111" s="6">
        <f t="shared" si="20"/>
        <v>0</v>
      </c>
      <c r="H111" s="1"/>
    </row>
    <row r="112" spans="2:8" ht="20.100000000000001" customHeight="1" x14ac:dyDescent="0.2">
      <c r="C112" s="17" t="s">
        <v>743</v>
      </c>
      <c r="D112" s="6"/>
      <c r="E112" s="6"/>
      <c r="F112" s="6"/>
      <c r="H112" s="1"/>
    </row>
    <row r="113" spans="2:8" ht="24" customHeight="1" x14ac:dyDescent="0.25">
      <c r="B113" s="40" t="s">
        <v>101</v>
      </c>
      <c r="C113" s="28" t="s">
        <v>68</v>
      </c>
      <c r="D113" s="66">
        <f>SUM(D107:D111)</f>
        <v>2620756800</v>
      </c>
      <c r="E113" s="66">
        <f>SUM(E107:E111)</f>
        <v>2520756800</v>
      </c>
      <c r="F113" s="66">
        <f>SUM(F107:F111)</f>
        <v>100000000</v>
      </c>
      <c r="H113" s="1"/>
    </row>
    <row r="114" spans="2:8" ht="20.100000000000001" customHeight="1" x14ac:dyDescent="0.25">
      <c r="B114" s="40"/>
      <c r="D114" s="103"/>
      <c r="E114" s="103"/>
      <c r="F114" s="103"/>
    </row>
    <row r="115" spans="2:8" ht="20.100000000000001" customHeight="1" x14ac:dyDescent="0.25">
      <c r="B115" s="108"/>
      <c r="C115" s="104"/>
      <c r="D115" s="103"/>
      <c r="E115" s="103"/>
      <c r="F115" s="103"/>
    </row>
    <row r="116" spans="2:8" ht="24.75" customHeight="1" x14ac:dyDescent="0.25">
      <c r="B116" s="40" t="s">
        <v>102</v>
      </c>
      <c r="C116" s="28">
        <v>8</v>
      </c>
      <c r="D116" s="4"/>
      <c r="E116" s="4"/>
      <c r="F116" s="4"/>
    </row>
    <row r="117" spans="2:8" ht="20.100000000000001" customHeight="1" x14ac:dyDescent="0.2">
      <c r="B117" s="4" t="s">
        <v>103</v>
      </c>
      <c r="D117" s="109">
        <f>+'NOTA 8-MOBILIARIO Y EQUIPOS, NE'!C14</f>
        <v>62288428.909999996</v>
      </c>
      <c r="E117" s="6">
        <v>61991399.309999995</v>
      </c>
      <c r="F117" s="6">
        <f t="shared" ref="F117:F124" si="21">D117-E117</f>
        <v>297029.60000000149</v>
      </c>
      <c r="G117" s="6"/>
    </row>
    <row r="118" spans="2:8" ht="20.100000000000001" customHeight="1" x14ac:dyDescent="0.2">
      <c r="B118" s="4" t="s">
        <v>104</v>
      </c>
      <c r="D118" s="110">
        <f>+-'NOTA 8-MOBILIARIO Y EQUIPOS, NE'!C19</f>
        <v>-43894743.710000008</v>
      </c>
      <c r="E118" s="6">
        <v>-43289234.090000011</v>
      </c>
      <c r="F118" s="6">
        <f t="shared" si="21"/>
        <v>-605509.61999999732</v>
      </c>
    </row>
    <row r="119" spans="2:8" ht="20.100000000000001" customHeight="1" x14ac:dyDescent="0.2">
      <c r="B119" s="4" t="s">
        <v>105</v>
      </c>
      <c r="C119" s="104"/>
      <c r="D119" s="110">
        <f>+'NOTA 8-MOBILIARIO Y EQUIPOS, NE'!D14</f>
        <v>1003826</v>
      </c>
      <c r="E119" s="6">
        <v>1003826</v>
      </c>
      <c r="F119" s="6">
        <f t="shared" si="21"/>
        <v>0</v>
      </c>
    </row>
    <row r="120" spans="2:8" ht="20.100000000000001" customHeight="1" x14ac:dyDescent="0.2">
      <c r="B120" s="4" t="s">
        <v>104</v>
      </c>
      <c r="C120" s="104"/>
      <c r="D120" s="110">
        <f>+-'NOTA 8-MOBILIARIO Y EQUIPOS, NE'!D19</f>
        <v>-619026.64999999979</v>
      </c>
      <c r="E120" s="6">
        <v>-602296.19999999984</v>
      </c>
      <c r="F120" s="6">
        <f t="shared" si="21"/>
        <v>-16730.449999999953</v>
      </c>
    </row>
    <row r="121" spans="2:8" ht="20.100000000000001" customHeight="1" x14ac:dyDescent="0.2">
      <c r="B121" s="4" t="s">
        <v>106</v>
      </c>
      <c r="C121" s="104"/>
      <c r="D121" s="110">
        <f>+'NOTA 8-MOBILIARIO Y EQUIPOS, NE'!E14</f>
        <v>25682855.010000002</v>
      </c>
      <c r="E121" s="6">
        <v>25682855.010000002</v>
      </c>
      <c r="F121" s="6">
        <f t="shared" si="21"/>
        <v>0</v>
      </c>
    </row>
    <row r="122" spans="2:8" ht="20.100000000000001" customHeight="1" x14ac:dyDescent="0.2">
      <c r="B122" s="4" t="s">
        <v>104</v>
      </c>
      <c r="C122" s="104"/>
      <c r="D122" s="111">
        <f>+-'NOTA 8-MOBILIARIO Y EQUIPOS, NE'!E19</f>
        <v>-22098936.510000002</v>
      </c>
      <c r="E122" s="29">
        <v>-21996538.850000001</v>
      </c>
      <c r="F122" s="6">
        <f t="shared" si="21"/>
        <v>-102397.66000000015</v>
      </c>
    </row>
    <row r="123" spans="2:8" ht="20.100000000000001" customHeight="1" x14ac:dyDescent="0.2">
      <c r="B123" s="4" t="s">
        <v>107</v>
      </c>
      <c r="C123" s="104" t="s">
        <v>68</v>
      </c>
      <c r="D123" s="111">
        <f>+'NOTA 8-MOBILIARIO Y EQUIPOS, NE'!I14</f>
        <v>5881555.6499999994</v>
      </c>
      <c r="E123" s="29">
        <v>5881555.6499999994</v>
      </c>
      <c r="F123" s="6">
        <f t="shared" si="21"/>
        <v>0</v>
      </c>
    </row>
    <row r="124" spans="2:8" ht="20.100000000000001" customHeight="1" x14ac:dyDescent="0.2">
      <c r="B124" s="4" t="s">
        <v>108</v>
      </c>
      <c r="C124" s="104"/>
      <c r="D124" s="111">
        <f>+-'NOTA 8-MOBILIARIO Y EQUIPOS, NE'!I19</f>
        <v>-5881555.6499999994</v>
      </c>
      <c r="E124" s="29">
        <v>-5881555.6499999994</v>
      </c>
      <c r="F124" s="6">
        <f t="shared" si="21"/>
        <v>0</v>
      </c>
    </row>
    <row r="125" spans="2:8" ht="20.100000000000001" customHeight="1" x14ac:dyDescent="0.2">
      <c r="C125" s="17" t="s">
        <v>743</v>
      </c>
      <c r="D125" s="6"/>
      <c r="E125" s="6"/>
      <c r="F125" s="109"/>
    </row>
    <row r="126" spans="2:8" ht="20.100000000000001" customHeight="1" x14ac:dyDescent="0.25">
      <c r="B126" s="40" t="s">
        <v>109</v>
      </c>
      <c r="C126" s="28" t="s">
        <v>68</v>
      </c>
      <c r="D126" s="66">
        <f>SUM(D117:D124)</f>
        <v>22362403.049999986</v>
      </c>
      <c r="E126" s="66">
        <f>SUM(E117:E124)</f>
        <v>22790011.179999985</v>
      </c>
      <c r="F126" s="66">
        <f>SUM(F117:F124)</f>
        <v>-427608.12999999593</v>
      </c>
    </row>
    <row r="127" spans="2:8" ht="20.100000000000001" customHeight="1" x14ac:dyDescent="0.2">
      <c r="B127" s="21"/>
      <c r="C127" s="5" t="s">
        <v>68</v>
      </c>
      <c r="D127" s="6"/>
      <c r="E127" s="6"/>
      <c r="F127" s="6"/>
    </row>
    <row r="128" spans="2:8" ht="20.100000000000001" customHeight="1" x14ac:dyDescent="0.2">
      <c r="B128" s="21"/>
      <c r="C128" s="5" t="s">
        <v>68</v>
      </c>
      <c r="D128" s="6"/>
      <c r="E128" s="6"/>
      <c r="F128" s="6"/>
      <c r="G128" s="6"/>
    </row>
    <row r="129" spans="2:6" ht="24.75" customHeight="1" x14ac:dyDescent="0.25">
      <c r="B129" s="40" t="s">
        <v>110</v>
      </c>
      <c r="C129" s="28">
        <v>9</v>
      </c>
      <c r="D129" s="4"/>
      <c r="E129" s="4"/>
      <c r="F129" s="4"/>
    </row>
    <row r="130" spans="2:6" ht="20.100000000000001" customHeight="1" x14ac:dyDescent="0.2">
      <c r="B130" s="4" t="s">
        <v>111</v>
      </c>
      <c r="D130" s="6">
        <f>+'NOTA 9-CEDULAS CxP PROVEEDORES '!C9</f>
        <v>2151709.7000000002</v>
      </c>
      <c r="E130" s="6">
        <v>3322740.39</v>
      </c>
      <c r="F130" s="6">
        <f t="shared" ref="F130:F138" si="22">D130-E130</f>
        <v>-1171030.69</v>
      </c>
    </row>
    <row r="131" spans="2:6" ht="20.100000000000001" customHeight="1" x14ac:dyDescent="0.2">
      <c r="B131" s="4" t="s">
        <v>851</v>
      </c>
      <c r="D131" s="6">
        <v>5940</v>
      </c>
      <c r="E131" s="6">
        <v>5940</v>
      </c>
      <c r="F131" s="6">
        <f t="shared" si="22"/>
        <v>0</v>
      </c>
    </row>
    <row r="132" spans="2:6" ht="20.100000000000001" customHeight="1" x14ac:dyDescent="0.2">
      <c r="B132" s="4" t="s">
        <v>846</v>
      </c>
      <c r="D132" s="6">
        <v>368874</v>
      </c>
      <c r="E132" s="6">
        <v>368874</v>
      </c>
      <c r="F132" s="6">
        <f t="shared" si="22"/>
        <v>0</v>
      </c>
    </row>
    <row r="133" spans="2:6" ht="20.100000000000001" customHeight="1" x14ac:dyDescent="0.2">
      <c r="B133" s="4" t="s">
        <v>771</v>
      </c>
      <c r="D133" s="25">
        <f>+'NOTA 9-CEDULAS CxP PROVEEDORES '!C12</f>
        <v>330887.51999999996</v>
      </c>
      <c r="E133" s="6">
        <v>239369.95</v>
      </c>
      <c r="F133" s="6">
        <f t="shared" si="22"/>
        <v>91517.569999999949</v>
      </c>
    </row>
    <row r="134" spans="2:6" ht="20.100000000000001" customHeight="1" x14ac:dyDescent="0.2">
      <c r="B134" s="4" t="s">
        <v>113</v>
      </c>
      <c r="C134" s="5" t="s">
        <v>68</v>
      </c>
      <c r="D134" s="25">
        <f>+'NOTA 9-CEDULAS CxP PROVEEDORES '!C13</f>
        <v>119586.88</v>
      </c>
      <c r="E134" s="11">
        <v>156212.06</v>
      </c>
      <c r="F134" s="6">
        <f t="shared" si="22"/>
        <v>-36625.179999999993</v>
      </c>
    </row>
    <row r="135" spans="2:6" ht="20.100000000000001" customHeight="1" x14ac:dyDescent="0.2">
      <c r="B135" s="4" t="s">
        <v>772</v>
      </c>
      <c r="D135" s="25">
        <f>+'NOTA 9-CEDULAS CxP PROVEEDORES '!C14</f>
        <v>55000</v>
      </c>
      <c r="E135" s="11">
        <v>189664.95</v>
      </c>
      <c r="F135" s="6">
        <f t="shared" si="22"/>
        <v>-134664.95000000001</v>
      </c>
    </row>
    <row r="136" spans="2:6" ht="20.100000000000001" customHeight="1" x14ac:dyDescent="0.2">
      <c r="B136" s="4" t="s">
        <v>114</v>
      </c>
      <c r="D136" s="25">
        <f>+'NOTA 9-CEDULAS CxP PROVEEDORES '!C15</f>
        <v>34844.17</v>
      </c>
      <c r="E136" s="6">
        <v>4450</v>
      </c>
      <c r="F136" s="6">
        <f t="shared" si="22"/>
        <v>30394.17</v>
      </c>
    </row>
    <row r="137" spans="2:6" ht="20.100000000000001" customHeight="1" x14ac:dyDescent="0.2">
      <c r="B137" s="4" t="s">
        <v>115</v>
      </c>
      <c r="D137" s="25">
        <f>+'NOTA 9-CEDULAS CxP PROVEEDORES '!C16</f>
        <v>2318063.35</v>
      </c>
      <c r="E137" s="6">
        <v>1851846.47</v>
      </c>
      <c r="F137" s="6">
        <f t="shared" si="22"/>
        <v>466216.88000000012</v>
      </c>
    </row>
    <row r="138" spans="2:6" ht="20.100000000000001" customHeight="1" x14ac:dyDescent="0.2">
      <c r="B138" s="4" t="s">
        <v>644</v>
      </c>
      <c r="D138" s="25">
        <f>+'NOTA 9-CEDULAS CxP PROVEEDORES '!C17</f>
        <v>600011</v>
      </c>
      <c r="E138" s="6">
        <v>595210.04</v>
      </c>
      <c r="F138" s="6">
        <f t="shared" si="22"/>
        <v>4800.9599999999627</v>
      </c>
    </row>
    <row r="139" spans="2:6" ht="20.100000000000001" customHeight="1" x14ac:dyDescent="0.2">
      <c r="C139" s="17" t="s">
        <v>743</v>
      </c>
      <c r="D139" s="6"/>
      <c r="E139" s="6"/>
      <c r="F139" s="109"/>
    </row>
    <row r="140" spans="2:6" ht="24" customHeight="1" x14ac:dyDescent="0.25">
      <c r="B140" s="40" t="s">
        <v>770</v>
      </c>
      <c r="C140" s="28"/>
      <c r="D140" s="66">
        <f>SUM(D130:D139)</f>
        <v>5984916.6200000001</v>
      </c>
      <c r="E140" s="66">
        <f>SUM(E130:E139)</f>
        <v>6734307.8600000003</v>
      </c>
      <c r="F140" s="66">
        <f>SUM(F130:F139)</f>
        <v>-749391.24</v>
      </c>
    </row>
    <row r="141" spans="2:6" ht="20.100000000000001" customHeight="1" x14ac:dyDescent="0.2">
      <c r="D141" s="6"/>
      <c r="E141" s="6"/>
      <c r="F141" s="6"/>
    </row>
    <row r="142" spans="2:6" ht="20.100000000000001" customHeight="1" x14ac:dyDescent="0.2">
      <c r="D142" s="6"/>
      <c r="E142" s="6"/>
      <c r="F142" s="6"/>
    </row>
    <row r="143" spans="2:6" ht="34.5" customHeight="1" x14ac:dyDescent="0.25">
      <c r="B143" s="81" t="s">
        <v>773</v>
      </c>
      <c r="C143" s="28">
        <v>10</v>
      </c>
      <c r="D143" s="4"/>
      <c r="E143" s="4"/>
      <c r="F143" s="4"/>
    </row>
    <row r="144" spans="2:6" ht="20.100000000000001" customHeight="1" x14ac:dyDescent="0.2">
      <c r="B144" s="4" t="s">
        <v>775</v>
      </c>
      <c r="D144" s="6">
        <f>+'NOTA 10-CEDULAS CxP CONTRATISTA'!C9</f>
        <v>343156.39</v>
      </c>
      <c r="E144" s="6">
        <v>709240.74</v>
      </c>
      <c r="F144" s="6">
        <f>D144-E144</f>
        <v>-366084.35</v>
      </c>
    </row>
    <row r="145" spans="2:6" ht="20.100000000000001" customHeight="1" x14ac:dyDescent="0.2">
      <c r="B145" s="4" t="s">
        <v>867</v>
      </c>
      <c r="D145" s="6">
        <f>+'NOTA 10-CEDULAS CxP CONTRATISTA'!C10</f>
        <v>179161.86</v>
      </c>
      <c r="E145" s="6">
        <v>0</v>
      </c>
      <c r="F145" s="6">
        <f t="shared" ref="F145" si="23">D145-E145</f>
        <v>179161.86</v>
      </c>
    </row>
    <row r="146" spans="2:6" ht="20.100000000000001" customHeight="1" x14ac:dyDescent="0.2">
      <c r="C146" s="17" t="s">
        <v>743</v>
      </c>
      <c r="D146" s="6"/>
      <c r="E146" s="6"/>
      <c r="F146" s="109"/>
    </row>
    <row r="147" spans="2:6" ht="38.450000000000003" customHeight="1" x14ac:dyDescent="0.25">
      <c r="B147" s="81" t="s">
        <v>774</v>
      </c>
      <c r="C147" s="28" t="s">
        <v>68</v>
      </c>
      <c r="D147" s="66">
        <f>SUM(D144:D146)</f>
        <v>522318.25</v>
      </c>
      <c r="E147" s="66">
        <f t="shared" ref="E147:F147" si="24">SUM(E144:E146)</f>
        <v>709240.74</v>
      </c>
      <c r="F147" s="66">
        <f t="shared" si="24"/>
        <v>-186922.49</v>
      </c>
    </row>
    <row r="148" spans="2:6" ht="20.100000000000001" customHeight="1" x14ac:dyDescent="0.25">
      <c r="B148" s="93"/>
      <c r="C148" s="106"/>
      <c r="D148" s="6"/>
      <c r="E148" s="6"/>
      <c r="F148" s="6"/>
    </row>
    <row r="149" spans="2:6" ht="20.100000000000001" customHeight="1" x14ac:dyDescent="0.2">
      <c r="C149" s="5" t="s">
        <v>68</v>
      </c>
    </row>
    <row r="150" spans="2:6" ht="24.75" customHeight="1" x14ac:dyDescent="0.25">
      <c r="B150" s="40" t="s">
        <v>117</v>
      </c>
      <c r="C150" s="28">
        <v>11</v>
      </c>
      <c r="D150" s="4"/>
      <c r="E150" s="4"/>
      <c r="F150" s="4"/>
    </row>
    <row r="151" spans="2:6" ht="20.100000000000001" customHeight="1" x14ac:dyDescent="0.2">
      <c r="B151" s="4" t="s">
        <v>118</v>
      </c>
      <c r="D151" s="112">
        <f>+'NOTA 11-GASTOS PERSONAL X PAGAR'!B9</f>
        <v>601205.85</v>
      </c>
      <c r="E151" s="6">
        <v>587340.64</v>
      </c>
      <c r="F151" s="6">
        <f t="shared" ref="F151:F155" si="25">D151-E151</f>
        <v>13865.209999999963</v>
      </c>
    </row>
    <row r="152" spans="2:6" ht="20.100000000000001" customHeight="1" x14ac:dyDescent="0.2">
      <c r="B152" s="4" t="s">
        <v>119</v>
      </c>
      <c r="C152" s="5" t="s">
        <v>68</v>
      </c>
      <c r="D152" s="113">
        <f>+'NOTA 11-GASTOS PERSONAL X PAGAR'!B10</f>
        <v>19060007.120000001</v>
      </c>
      <c r="E152" s="29">
        <v>15149100.109999999</v>
      </c>
      <c r="F152" s="6">
        <f t="shared" si="25"/>
        <v>3910907.0100000016</v>
      </c>
    </row>
    <row r="153" spans="2:6" ht="20.100000000000001" customHeight="1" x14ac:dyDescent="0.2">
      <c r="B153" s="4" t="s">
        <v>645</v>
      </c>
      <c r="D153" s="113">
        <v>0</v>
      </c>
      <c r="E153" s="29">
        <v>19279.28</v>
      </c>
      <c r="F153" s="6">
        <f t="shared" si="25"/>
        <v>-19279.28</v>
      </c>
    </row>
    <row r="154" spans="2:6" ht="20.100000000000001" customHeight="1" x14ac:dyDescent="0.2">
      <c r="B154" s="4" t="s">
        <v>120</v>
      </c>
      <c r="C154" s="5" t="s">
        <v>68</v>
      </c>
      <c r="D154" s="113">
        <f>+'NOTA 11-GASTOS PERSONAL X PAGAR'!B11</f>
        <v>3239953.41</v>
      </c>
      <c r="E154" s="29">
        <v>3473255.79</v>
      </c>
      <c r="F154" s="6">
        <f t="shared" si="25"/>
        <v>-233302.37999999989</v>
      </c>
    </row>
    <row r="155" spans="2:6" ht="20.100000000000001" customHeight="1" x14ac:dyDescent="0.2">
      <c r="B155" s="4" t="s">
        <v>121</v>
      </c>
      <c r="C155" s="5" t="s">
        <v>68</v>
      </c>
      <c r="D155" s="113">
        <f>+'NOTA 11-GASTOS PERSONAL X PAGAR'!B12</f>
        <v>7054340.5899999999</v>
      </c>
      <c r="E155" s="29">
        <v>6483392.25</v>
      </c>
      <c r="F155" s="6">
        <f t="shared" si="25"/>
        <v>570948.33999999985</v>
      </c>
    </row>
    <row r="156" spans="2:6" ht="20.100000000000001" customHeight="1" x14ac:dyDescent="0.2">
      <c r="C156" s="17" t="s">
        <v>743</v>
      </c>
      <c r="D156" s="6"/>
      <c r="E156" s="6"/>
      <c r="F156" s="109"/>
    </row>
    <row r="157" spans="2:6" ht="24" customHeight="1" x14ac:dyDescent="0.25">
      <c r="B157" s="40" t="s">
        <v>122</v>
      </c>
      <c r="C157" s="28" t="s">
        <v>68</v>
      </c>
      <c r="D157" s="66">
        <f>SUM(D151:D155)</f>
        <v>29955506.970000003</v>
      </c>
      <c r="E157" s="66">
        <f t="shared" ref="E157:F157" si="26">SUM(E151:E155)</f>
        <v>25712368.07</v>
      </c>
      <c r="F157" s="66">
        <f t="shared" si="26"/>
        <v>4243138.9000000022</v>
      </c>
    </row>
    <row r="158" spans="2:6" ht="20.100000000000001" customHeight="1" x14ac:dyDescent="0.2">
      <c r="C158" s="5" t="s">
        <v>68</v>
      </c>
      <c r="D158" s="6"/>
      <c r="E158" s="6"/>
      <c r="F158" s="6"/>
    </row>
    <row r="159" spans="2:6" ht="20.100000000000001" customHeight="1" x14ac:dyDescent="0.2">
      <c r="C159" s="5" t="s">
        <v>68</v>
      </c>
      <c r="D159" s="6"/>
      <c r="E159" s="6"/>
      <c r="F159" s="6"/>
    </row>
    <row r="160" spans="2:6" ht="24.75" customHeight="1" x14ac:dyDescent="0.25">
      <c r="B160" s="40" t="s">
        <v>123</v>
      </c>
      <c r="C160" s="28">
        <v>12</v>
      </c>
      <c r="D160" s="4"/>
      <c r="E160" s="4"/>
      <c r="F160" s="4"/>
    </row>
    <row r="161" spans="2:6" ht="20.100000000000001" customHeight="1" x14ac:dyDescent="0.2">
      <c r="B161" s="4" t="s">
        <v>776</v>
      </c>
      <c r="D161" s="25">
        <f>+'NOTA 12-RETENCIONES X PAGAR'!B10</f>
        <v>304977.28999999998</v>
      </c>
      <c r="E161" s="27">
        <v>158946.09</v>
      </c>
      <c r="F161" s="6">
        <f t="shared" ref="F161:F165" si="27">D161-E161</f>
        <v>146031.19999999998</v>
      </c>
    </row>
    <row r="162" spans="2:6" ht="20.100000000000001" customHeight="1" x14ac:dyDescent="0.2">
      <c r="B162" s="4" t="s">
        <v>777</v>
      </c>
      <c r="C162" s="5" t="s">
        <v>68</v>
      </c>
      <c r="D162" s="25">
        <f>+'NOTA 12-RETENCIONES X PAGAR'!B11</f>
        <v>1671826.66</v>
      </c>
      <c r="E162" s="27">
        <v>2287606.46</v>
      </c>
      <c r="F162" s="6">
        <f t="shared" si="27"/>
        <v>-615779.80000000005</v>
      </c>
    </row>
    <row r="163" spans="2:6" ht="20.100000000000001" customHeight="1" x14ac:dyDescent="0.2">
      <c r="B163" s="4" t="s">
        <v>124</v>
      </c>
      <c r="D163" s="25">
        <f>+'NOTA 12-RETENCIONES X PAGAR'!B13</f>
        <v>90454.69</v>
      </c>
      <c r="E163" s="6">
        <v>35561.14</v>
      </c>
      <c r="F163" s="6">
        <f t="shared" si="27"/>
        <v>54893.55</v>
      </c>
    </row>
    <row r="164" spans="2:6" ht="20.100000000000001" customHeight="1" x14ac:dyDescent="0.2">
      <c r="B164" s="4" t="s">
        <v>125</v>
      </c>
      <c r="D164" s="25">
        <f>+'NOTA 12-RETENCIONES X PAGAR'!B14</f>
        <v>1157.2</v>
      </c>
      <c r="E164" s="6">
        <v>0</v>
      </c>
      <c r="F164" s="6">
        <f t="shared" si="27"/>
        <v>1157.2</v>
      </c>
    </row>
    <row r="165" spans="2:6" ht="20.100000000000001" customHeight="1" x14ac:dyDescent="0.2">
      <c r="B165" s="4" t="s">
        <v>126</v>
      </c>
      <c r="D165" s="25">
        <f>+'NOTA 12-RETENCIONES X PAGAR'!B15</f>
        <v>11572.02</v>
      </c>
      <c r="E165" s="6">
        <v>0</v>
      </c>
      <c r="F165" s="6">
        <f t="shared" si="27"/>
        <v>11572.02</v>
      </c>
    </row>
    <row r="166" spans="2:6" ht="20.100000000000001" customHeight="1" x14ac:dyDescent="0.2">
      <c r="C166" s="17" t="s">
        <v>743</v>
      </c>
      <c r="D166" s="25"/>
      <c r="E166" s="6"/>
      <c r="F166" s="6"/>
    </row>
    <row r="167" spans="2:6" ht="24" customHeight="1" x14ac:dyDescent="0.25">
      <c r="B167" s="40" t="s">
        <v>127</v>
      </c>
      <c r="C167" s="28" t="s">
        <v>68</v>
      </c>
      <c r="D167" s="66">
        <f>SUM(D161:D165)</f>
        <v>2079987.8599999999</v>
      </c>
      <c r="E167" s="66">
        <f t="shared" ref="E167:F167" si="28">SUM(E161:E165)</f>
        <v>2482113.69</v>
      </c>
      <c r="F167" s="66">
        <f t="shared" si="28"/>
        <v>-402125.83000000007</v>
      </c>
    </row>
    <row r="168" spans="2:6" ht="20.100000000000001" customHeight="1" x14ac:dyDescent="0.2">
      <c r="D168" s="6"/>
      <c r="E168" s="6"/>
      <c r="F168" s="6"/>
    </row>
    <row r="169" spans="2:6" ht="20.100000000000001" customHeight="1" x14ac:dyDescent="0.2">
      <c r="D169" s="6"/>
      <c r="E169" s="6"/>
      <c r="F169" s="6"/>
    </row>
    <row r="170" spans="2:6" ht="24.75" customHeight="1" x14ac:dyDescent="0.25">
      <c r="B170" s="40" t="s">
        <v>778</v>
      </c>
      <c r="C170" s="28">
        <v>13</v>
      </c>
      <c r="D170" s="4"/>
      <c r="E170" s="4"/>
      <c r="F170" s="4"/>
    </row>
    <row r="171" spans="2:6" ht="20.100000000000001" customHeight="1" x14ac:dyDescent="0.2">
      <c r="B171" s="4" t="s">
        <v>128</v>
      </c>
      <c r="D171" s="6">
        <f>+'NOTA 13-OTRAS CXP'!B10</f>
        <v>70608221.019999996</v>
      </c>
      <c r="E171" s="6">
        <v>70608221.019999996</v>
      </c>
      <c r="F171" s="6">
        <f>D171-E171</f>
        <v>0</v>
      </c>
    </row>
    <row r="172" spans="2:6" ht="20.100000000000001" customHeight="1" x14ac:dyDescent="0.2">
      <c r="C172" s="17" t="s">
        <v>743</v>
      </c>
      <c r="D172" s="6"/>
      <c r="E172" s="6"/>
      <c r="F172" s="6"/>
    </row>
    <row r="173" spans="2:6" ht="24" customHeight="1" x14ac:dyDescent="0.25">
      <c r="B173" s="40" t="s">
        <v>779</v>
      </c>
      <c r="C173" s="28" t="s">
        <v>68</v>
      </c>
      <c r="D173" s="66">
        <f>SUM(D171:D171)</f>
        <v>70608221.019999996</v>
      </c>
      <c r="E173" s="66">
        <f>SUM(E171:E171)</f>
        <v>70608221.019999996</v>
      </c>
      <c r="F173" s="66">
        <f>SUM(F171:F171)</f>
        <v>0</v>
      </c>
    </row>
    <row r="174" spans="2:6" ht="20.100000000000001" customHeight="1" x14ac:dyDescent="0.2">
      <c r="C174" s="5" t="s">
        <v>68</v>
      </c>
      <c r="D174" s="4"/>
      <c r="E174" s="4"/>
      <c r="F174" s="4"/>
    </row>
    <row r="175" spans="2:6" ht="20.100000000000001" customHeight="1" x14ac:dyDescent="0.2">
      <c r="C175" s="5" t="s">
        <v>68</v>
      </c>
      <c r="D175" s="6"/>
      <c r="E175" s="6"/>
      <c r="F175" s="6"/>
    </row>
    <row r="176" spans="2:6" ht="20.100000000000001" customHeight="1" x14ac:dyDescent="0.2">
      <c r="C176" s="5" t="s">
        <v>68</v>
      </c>
      <c r="D176" s="4"/>
      <c r="E176" s="4"/>
      <c r="F176" s="4"/>
    </row>
    <row r="177" spans="3:6" x14ac:dyDescent="0.2">
      <c r="C177" s="5" t="s">
        <v>68</v>
      </c>
      <c r="D177" s="6"/>
      <c r="E177" s="6"/>
      <c r="F177" s="6"/>
    </row>
    <row r="178" spans="3:6" x14ac:dyDescent="0.2">
      <c r="D178" s="6"/>
      <c r="E178" s="4"/>
      <c r="F178" s="4"/>
    </row>
    <row r="179" spans="3:6" x14ac:dyDescent="0.2">
      <c r="D179" s="4"/>
      <c r="E179" s="4"/>
      <c r="F179" s="4"/>
    </row>
    <row r="180" spans="3:6" x14ac:dyDescent="0.2">
      <c r="D180" s="4"/>
      <c r="E180" s="4"/>
      <c r="F180" s="4"/>
    </row>
    <row r="181" spans="3:6" x14ac:dyDescent="0.2">
      <c r="D181" s="4"/>
      <c r="E181" s="4"/>
      <c r="F181" s="4"/>
    </row>
    <row r="182" spans="3:6" x14ac:dyDescent="0.2">
      <c r="D182" s="4"/>
      <c r="E182" s="4"/>
      <c r="F182" s="4"/>
    </row>
    <row r="183" spans="3:6" x14ac:dyDescent="0.2">
      <c r="D183" s="4"/>
      <c r="E183" s="4"/>
      <c r="F183" s="4"/>
    </row>
    <row r="184" spans="3:6" x14ac:dyDescent="0.2">
      <c r="D184" s="4"/>
      <c r="E184" s="4"/>
      <c r="F184" s="4"/>
    </row>
    <row r="185" spans="3:6" x14ac:dyDescent="0.2">
      <c r="D185" s="4"/>
      <c r="E185" s="4"/>
      <c r="F185" s="4"/>
    </row>
    <row r="186" spans="3:6" x14ac:dyDescent="0.2">
      <c r="D186" s="4"/>
      <c r="E186" s="4"/>
      <c r="F186" s="4"/>
    </row>
    <row r="187" spans="3:6" x14ac:dyDescent="0.2">
      <c r="D187" s="4"/>
      <c r="E187" s="4"/>
      <c r="F187" s="4"/>
    </row>
    <row r="188" spans="3:6" x14ac:dyDescent="0.2">
      <c r="D188" s="4"/>
      <c r="E188" s="4"/>
      <c r="F188" s="4"/>
    </row>
    <row r="189" spans="3:6" x14ac:dyDescent="0.2">
      <c r="D189" s="4"/>
      <c r="E189" s="4"/>
      <c r="F189" s="4"/>
    </row>
    <row r="190" spans="3:6" x14ac:dyDescent="0.2">
      <c r="D190" s="4"/>
      <c r="E190" s="4"/>
      <c r="F190" s="4"/>
    </row>
    <row r="191" spans="3:6" x14ac:dyDescent="0.2">
      <c r="D191" s="4"/>
      <c r="E191" s="4"/>
      <c r="F191" s="4"/>
    </row>
    <row r="192" spans="3:6" x14ac:dyDescent="0.2">
      <c r="D192" s="4"/>
      <c r="E192" s="4"/>
      <c r="F192" s="4"/>
    </row>
    <row r="193" spans="4:6" x14ac:dyDescent="0.2">
      <c r="D193" s="4"/>
      <c r="E193" s="4"/>
      <c r="F193" s="4"/>
    </row>
    <row r="194" spans="4:6" x14ac:dyDescent="0.2">
      <c r="D194" s="4"/>
      <c r="E194" s="4"/>
      <c r="F194" s="4"/>
    </row>
    <row r="195" spans="4:6" x14ac:dyDescent="0.2">
      <c r="D195" s="4"/>
      <c r="E195" s="4"/>
      <c r="F195" s="4"/>
    </row>
    <row r="196" spans="4:6" x14ac:dyDescent="0.2">
      <c r="D196" s="4"/>
      <c r="E196" s="4"/>
      <c r="F196" s="4"/>
    </row>
    <row r="197" spans="4:6" x14ac:dyDescent="0.2">
      <c r="D197" s="4"/>
      <c r="E197" s="4"/>
      <c r="F197" s="4"/>
    </row>
    <row r="198" spans="4:6" x14ac:dyDescent="0.2">
      <c r="D198" s="4"/>
      <c r="E198" s="4"/>
      <c r="F198" s="4"/>
    </row>
    <row r="199" spans="4:6" x14ac:dyDescent="0.2">
      <c r="D199" s="4"/>
      <c r="E199" s="4"/>
      <c r="F199" s="4"/>
    </row>
    <row r="200" spans="4:6" x14ac:dyDescent="0.2">
      <c r="D200" s="4"/>
      <c r="E200" s="4"/>
      <c r="F200" s="4"/>
    </row>
    <row r="201" spans="4:6" x14ac:dyDescent="0.2">
      <c r="D201" s="4"/>
      <c r="E201" s="4"/>
      <c r="F201" s="4"/>
    </row>
    <row r="202" spans="4:6" x14ac:dyDescent="0.2">
      <c r="D202" s="4"/>
      <c r="E202" s="4"/>
      <c r="F202" s="4"/>
    </row>
    <row r="203" spans="4:6" x14ac:dyDescent="0.2">
      <c r="D203" s="4"/>
      <c r="E203" s="4"/>
      <c r="F203" s="4"/>
    </row>
    <row r="204" spans="4:6" x14ac:dyDescent="0.2">
      <c r="D204" s="4"/>
      <c r="E204" s="4"/>
      <c r="F204" s="4"/>
    </row>
    <row r="205" spans="4:6" x14ac:dyDescent="0.2">
      <c r="D205" s="4"/>
      <c r="E205" s="4"/>
      <c r="F205" s="4"/>
    </row>
    <row r="206" spans="4:6" x14ac:dyDescent="0.2">
      <c r="D206" s="4"/>
      <c r="E206" s="4"/>
      <c r="F206" s="4"/>
    </row>
    <row r="207" spans="4:6" x14ac:dyDescent="0.2">
      <c r="D207" s="4"/>
      <c r="E207" s="4"/>
      <c r="F207" s="4"/>
    </row>
    <row r="208" spans="4:6" x14ac:dyDescent="0.2">
      <c r="D208" s="4"/>
      <c r="E208" s="4"/>
      <c r="F208" s="4"/>
    </row>
    <row r="209" spans="4:6" x14ac:dyDescent="0.2">
      <c r="D209" s="4"/>
      <c r="E209" s="4"/>
      <c r="F209" s="4"/>
    </row>
    <row r="210" spans="4:6" x14ac:dyDescent="0.2">
      <c r="D210" s="4"/>
      <c r="E210" s="4"/>
      <c r="F210" s="4"/>
    </row>
    <row r="211" spans="4:6" x14ac:dyDescent="0.2">
      <c r="D211" s="4"/>
      <c r="E211" s="4"/>
      <c r="F211" s="4"/>
    </row>
    <row r="212" spans="4:6" x14ac:dyDescent="0.2">
      <c r="D212" s="4"/>
      <c r="E212" s="4"/>
      <c r="F212" s="4"/>
    </row>
    <row r="213" spans="4:6" x14ac:dyDescent="0.2">
      <c r="D213" s="4"/>
      <c r="E213" s="4"/>
      <c r="F213" s="4"/>
    </row>
    <row r="214" spans="4:6" x14ac:dyDescent="0.2">
      <c r="D214" s="4"/>
      <c r="E214" s="4"/>
      <c r="F214" s="4"/>
    </row>
    <row r="215" spans="4:6" x14ac:dyDescent="0.2">
      <c r="D215" s="4"/>
      <c r="E215" s="4"/>
      <c r="F215" s="4"/>
    </row>
    <row r="216" spans="4:6" x14ac:dyDescent="0.2">
      <c r="D216" s="4"/>
      <c r="E216" s="4"/>
      <c r="F216" s="4"/>
    </row>
    <row r="217" spans="4:6" x14ac:dyDescent="0.2">
      <c r="D217" s="4"/>
      <c r="E217" s="4"/>
      <c r="F217" s="4"/>
    </row>
    <row r="218" spans="4:6" x14ac:dyDescent="0.2">
      <c r="D218" s="4"/>
      <c r="E218" s="4"/>
      <c r="F218" s="4"/>
    </row>
    <row r="219" spans="4:6" x14ac:dyDescent="0.2">
      <c r="D219" s="4"/>
      <c r="E219" s="4"/>
      <c r="F219" s="4"/>
    </row>
    <row r="220" spans="4:6" x14ac:dyDescent="0.2">
      <c r="D220" s="4"/>
      <c r="E220" s="4"/>
      <c r="F220" s="4"/>
    </row>
    <row r="221" spans="4:6" x14ac:dyDescent="0.2">
      <c r="D221" s="4"/>
      <c r="E221" s="4"/>
      <c r="F221" s="4"/>
    </row>
    <row r="222" spans="4:6" x14ac:dyDescent="0.2">
      <c r="D222" s="4"/>
      <c r="E222" s="4"/>
      <c r="F222" s="4"/>
    </row>
    <row r="223" spans="4:6" x14ac:dyDescent="0.2">
      <c r="D223" s="4"/>
      <c r="E223" s="4"/>
      <c r="F223" s="4"/>
    </row>
    <row r="224" spans="4:6" x14ac:dyDescent="0.2">
      <c r="D224" s="4"/>
      <c r="E224" s="4"/>
      <c r="F224" s="4"/>
    </row>
    <row r="225" spans="4:6" x14ac:dyDescent="0.2">
      <c r="D225" s="4"/>
      <c r="E225" s="4"/>
      <c r="F225" s="4"/>
    </row>
    <row r="226" spans="4:6" x14ac:dyDescent="0.2">
      <c r="D226" s="4"/>
      <c r="E226" s="4"/>
      <c r="F226" s="4"/>
    </row>
    <row r="227" spans="4:6" x14ac:dyDescent="0.2">
      <c r="D227" s="4"/>
      <c r="E227" s="4"/>
      <c r="F227" s="4"/>
    </row>
    <row r="228" spans="4:6" x14ac:dyDescent="0.2">
      <c r="D228" s="4"/>
      <c r="E228" s="4"/>
      <c r="F228" s="4"/>
    </row>
    <row r="229" spans="4:6" x14ac:dyDescent="0.2">
      <c r="D229" s="4"/>
      <c r="E229" s="4"/>
      <c r="F229" s="4"/>
    </row>
    <row r="230" spans="4:6" x14ac:dyDescent="0.2">
      <c r="D230" s="4"/>
      <c r="E230" s="4"/>
      <c r="F230" s="4"/>
    </row>
    <row r="231" spans="4:6" x14ac:dyDescent="0.2">
      <c r="D231" s="4"/>
      <c r="E231" s="4"/>
      <c r="F231" s="4"/>
    </row>
    <row r="232" spans="4:6" x14ac:dyDescent="0.2">
      <c r="D232" s="4"/>
      <c r="E232" s="4"/>
      <c r="F232" s="4"/>
    </row>
    <row r="233" spans="4:6" x14ac:dyDescent="0.2">
      <c r="D233" s="4"/>
      <c r="E233" s="4"/>
      <c r="F233" s="4"/>
    </row>
    <row r="234" spans="4:6" x14ac:dyDescent="0.2">
      <c r="D234" s="4"/>
      <c r="E234" s="4"/>
      <c r="F234" s="4"/>
    </row>
    <row r="235" spans="4:6" x14ac:dyDescent="0.2">
      <c r="D235" s="4"/>
      <c r="E235" s="4"/>
      <c r="F235" s="4"/>
    </row>
    <row r="236" spans="4:6" x14ac:dyDescent="0.2">
      <c r="D236" s="4"/>
      <c r="E236" s="4"/>
      <c r="F236" s="4"/>
    </row>
    <row r="237" spans="4:6" x14ac:dyDescent="0.2">
      <c r="D237" s="4"/>
      <c r="E237" s="4"/>
      <c r="F237" s="4"/>
    </row>
    <row r="238" spans="4:6" x14ac:dyDescent="0.2">
      <c r="D238" s="4"/>
      <c r="E238" s="4"/>
      <c r="F238" s="4"/>
    </row>
    <row r="239" spans="4:6" x14ac:dyDescent="0.2">
      <c r="D239" s="4"/>
      <c r="E239" s="4"/>
      <c r="F239" s="4"/>
    </row>
    <row r="240" spans="4:6" x14ac:dyDescent="0.2">
      <c r="D240" s="4"/>
      <c r="E240" s="4"/>
      <c r="F240" s="4"/>
    </row>
    <row r="241" spans="4:6" x14ac:dyDescent="0.2">
      <c r="D241" s="4"/>
      <c r="E241" s="4"/>
      <c r="F241" s="4"/>
    </row>
    <row r="242" spans="4:6" x14ac:dyDescent="0.2">
      <c r="D242" s="4"/>
      <c r="E242" s="4"/>
      <c r="F242" s="4"/>
    </row>
    <row r="243" spans="4:6" x14ac:dyDescent="0.2">
      <c r="D243" s="4"/>
      <c r="E243" s="4"/>
      <c r="F243" s="4"/>
    </row>
    <row r="244" spans="4:6" x14ac:dyDescent="0.2">
      <c r="D244" s="4"/>
      <c r="E244" s="4"/>
      <c r="F244" s="4"/>
    </row>
    <row r="245" spans="4:6" x14ac:dyDescent="0.2">
      <c r="D245" s="4"/>
      <c r="E245" s="4"/>
      <c r="F245" s="4"/>
    </row>
    <row r="246" spans="4:6" x14ac:dyDescent="0.2">
      <c r="D246" s="4"/>
      <c r="E246" s="4"/>
      <c r="F246" s="4"/>
    </row>
    <row r="247" spans="4:6" x14ac:dyDescent="0.2">
      <c r="D247" s="4"/>
      <c r="E247" s="4"/>
      <c r="F247" s="4"/>
    </row>
    <row r="248" spans="4:6" x14ac:dyDescent="0.2">
      <c r="D248" s="4"/>
      <c r="E248" s="4"/>
      <c r="F248" s="4"/>
    </row>
    <row r="249" spans="4:6" x14ac:dyDescent="0.2">
      <c r="D249" s="4"/>
      <c r="E249" s="4"/>
      <c r="F249" s="4"/>
    </row>
    <row r="250" spans="4:6" x14ac:dyDescent="0.2">
      <c r="D250" s="4"/>
      <c r="E250" s="4"/>
      <c r="F250" s="4"/>
    </row>
    <row r="251" spans="4:6" x14ac:dyDescent="0.2">
      <c r="D251" s="4"/>
      <c r="E251" s="4"/>
      <c r="F251" s="4"/>
    </row>
    <row r="252" spans="4:6" x14ac:dyDescent="0.2">
      <c r="D252" s="4"/>
      <c r="E252" s="4"/>
      <c r="F252" s="4"/>
    </row>
    <row r="253" spans="4:6" x14ac:dyDescent="0.2">
      <c r="D253" s="4"/>
      <c r="E253" s="4"/>
      <c r="F253" s="4"/>
    </row>
    <row r="254" spans="4:6" x14ac:dyDescent="0.2">
      <c r="D254" s="4"/>
      <c r="E254" s="4"/>
      <c r="F254" s="4"/>
    </row>
    <row r="255" spans="4:6" x14ac:dyDescent="0.2">
      <c r="D255" s="4"/>
      <c r="E255" s="4"/>
      <c r="F255" s="4"/>
    </row>
    <row r="256" spans="4:6" x14ac:dyDescent="0.2">
      <c r="D256" s="4"/>
      <c r="E256" s="4"/>
      <c r="F256" s="4"/>
    </row>
    <row r="257" spans="4:6" x14ac:dyDescent="0.2">
      <c r="D257" s="4"/>
      <c r="E257" s="4"/>
      <c r="F257" s="4"/>
    </row>
    <row r="258" spans="4:6" x14ac:dyDescent="0.2">
      <c r="D258" s="4"/>
      <c r="E258" s="4"/>
      <c r="F258" s="4"/>
    </row>
    <row r="259" spans="4:6" x14ac:dyDescent="0.2">
      <c r="D259" s="4"/>
      <c r="E259" s="4"/>
      <c r="F259" s="4"/>
    </row>
    <row r="260" spans="4:6" x14ac:dyDescent="0.2">
      <c r="D260" s="4"/>
      <c r="E260" s="4"/>
      <c r="F260" s="4"/>
    </row>
    <row r="261" spans="4:6" x14ac:dyDescent="0.2">
      <c r="D261" s="4"/>
      <c r="E261" s="4"/>
      <c r="F261" s="4"/>
    </row>
    <row r="262" spans="4:6" x14ac:dyDescent="0.2">
      <c r="D262" s="4"/>
      <c r="E262" s="4"/>
      <c r="F262" s="4"/>
    </row>
    <row r="263" spans="4:6" x14ac:dyDescent="0.2">
      <c r="D263" s="4"/>
      <c r="E263" s="4"/>
      <c r="F263" s="4"/>
    </row>
    <row r="264" spans="4:6" x14ac:dyDescent="0.2">
      <c r="D264" s="4"/>
      <c r="E264" s="4"/>
      <c r="F264" s="4"/>
    </row>
    <row r="265" spans="4:6" x14ac:dyDescent="0.2">
      <c r="D265" s="4"/>
      <c r="E265" s="4"/>
      <c r="F265" s="4"/>
    </row>
    <row r="266" spans="4:6" x14ac:dyDescent="0.2">
      <c r="D266" s="4"/>
      <c r="E266" s="4"/>
      <c r="F266" s="4"/>
    </row>
    <row r="267" spans="4:6" x14ac:dyDescent="0.2">
      <c r="D267" s="4"/>
      <c r="E267" s="4"/>
      <c r="F267" s="4"/>
    </row>
    <row r="268" spans="4:6" x14ac:dyDescent="0.2">
      <c r="D268" s="4"/>
      <c r="E268" s="4"/>
      <c r="F268" s="4"/>
    </row>
    <row r="269" spans="4:6" x14ac:dyDescent="0.2">
      <c r="D269" s="4"/>
      <c r="E269" s="4"/>
      <c r="F269" s="4"/>
    </row>
    <row r="270" spans="4:6" x14ac:dyDescent="0.2">
      <c r="D270" s="4"/>
      <c r="E270" s="4"/>
      <c r="F270" s="4"/>
    </row>
    <row r="271" spans="4:6" x14ac:dyDescent="0.2">
      <c r="D271" s="4"/>
      <c r="E271" s="4"/>
      <c r="F271" s="4"/>
    </row>
    <row r="272" spans="4:6" x14ac:dyDescent="0.2">
      <c r="D272" s="4"/>
      <c r="E272" s="4"/>
      <c r="F272" s="4"/>
    </row>
    <row r="273" spans="4:6" x14ac:dyDescent="0.2">
      <c r="D273" s="4"/>
      <c r="E273" s="4"/>
      <c r="F273" s="4"/>
    </row>
    <row r="274" spans="4:6" x14ac:dyDescent="0.2">
      <c r="D274" s="4"/>
      <c r="E274" s="4"/>
      <c r="F274" s="4"/>
    </row>
    <row r="275" spans="4:6" x14ac:dyDescent="0.2">
      <c r="D275" s="4"/>
      <c r="E275" s="4"/>
      <c r="F275" s="4"/>
    </row>
    <row r="276" spans="4:6" x14ac:dyDescent="0.2">
      <c r="D276" s="4"/>
      <c r="E276" s="4"/>
      <c r="F276" s="4"/>
    </row>
    <row r="277" spans="4:6" x14ac:dyDescent="0.2">
      <c r="D277" s="4"/>
      <c r="E277" s="4"/>
      <c r="F277" s="4"/>
    </row>
    <row r="278" spans="4:6" x14ac:dyDescent="0.2">
      <c r="D278" s="4"/>
      <c r="E278" s="4"/>
      <c r="F278" s="4"/>
    </row>
    <row r="279" spans="4:6" x14ac:dyDescent="0.2">
      <c r="D279" s="4"/>
      <c r="E279" s="4"/>
      <c r="F279" s="4"/>
    </row>
  </sheetData>
  <pageMargins left="0.35433070866141736" right="0.23622047244094491" top="0.59" bottom="0.59055118110236227" header="0.39" footer="0.31496062992125984"/>
  <pageSetup scale="55" orientation="portrait" r:id="rId1"/>
  <headerFooter>
    <oddFooter>Page &amp;P of &amp;N</oddFooter>
  </headerFooter>
  <rowBreaks count="1" manualBreakCount="1">
    <brk id="65" max="5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30">
    <pageSetUpPr fitToPage="1"/>
  </sheetPr>
  <dimension ref="A5:N48"/>
  <sheetViews>
    <sheetView workbookViewId="0">
      <selection activeCell="D42" sqref="A1:D42"/>
    </sheetView>
  </sheetViews>
  <sheetFormatPr baseColWidth="10" defaultColWidth="11.42578125" defaultRowHeight="15" x14ac:dyDescent="0.2"/>
  <cols>
    <col min="1" max="1" width="4.85546875" style="4" customWidth="1"/>
    <col min="2" max="2" width="50.140625" style="4" customWidth="1"/>
    <col min="3" max="3" width="21" style="4" customWidth="1"/>
    <col min="4" max="4" width="25.28515625" style="4" customWidth="1"/>
    <col min="5" max="5" width="17.28515625" style="4" bestFit="1" customWidth="1"/>
    <col min="6" max="6" width="4.28515625" style="4" customWidth="1"/>
    <col min="7" max="7" width="29" style="4" bestFit="1" customWidth="1"/>
    <col min="8" max="8" width="16.42578125" style="4" bestFit="1" customWidth="1"/>
    <col min="9" max="9" width="16" style="4" bestFit="1" customWidth="1"/>
    <col min="10" max="10" width="15.85546875" style="4" bestFit="1" customWidth="1"/>
    <col min="11" max="11" width="16" style="4" bestFit="1" customWidth="1"/>
    <col min="12" max="12" width="15.7109375" style="4" bestFit="1" customWidth="1"/>
    <col min="13" max="13" width="15.85546875" style="4" bestFit="1" customWidth="1"/>
    <col min="14" max="16384" width="11.42578125" style="4"/>
  </cols>
  <sheetData>
    <row r="5" spans="1:4" s="40" customFormat="1" ht="20.25" customHeight="1" x14ac:dyDescent="0.25">
      <c r="A5" s="12" t="s">
        <v>469</v>
      </c>
    </row>
    <row r="6" spans="1:4" s="40" customFormat="1" ht="20.25" customHeight="1" x14ac:dyDescent="0.25">
      <c r="A6" s="40" t="s">
        <v>611</v>
      </c>
    </row>
    <row r="7" spans="1:4" ht="15.75" thickBot="1" x14ac:dyDescent="0.25"/>
    <row r="8" spans="1:4" ht="22.5" customHeight="1" thickBot="1" x14ac:dyDescent="0.25">
      <c r="A8" s="425" t="s">
        <v>470</v>
      </c>
      <c r="B8" s="426" t="s">
        <v>471</v>
      </c>
      <c r="C8" s="426" t="s">
        <v>472</v>
      </c>
      <c r="D8" s="448" t="s">
        <v>748</v>
      </c>
    </row>
    <row r="9" spans="1:4" x14ac:dyDescent="0.2">
      <c r="A9" s="401">
        <v>1</v>
      </c>
      <c r="B9" s="402" t="s">
        <v>474</v>
      </c>
      <c r="C9" s="403">
        <v>8399520</v>
      </c>
      <c r="D9" s="404">
        <v>8399520</v>
      </c>
    </row>
    <row r="10" spans="1:4" x14ac:dyDescent="0.2">
      <c r="A10" s="211">
        <v>2</v>
      </c>
      <c r="B10" s="211" t="s">
        <v>619</v>
      </c>
      <c r="C10" s="405">
        <v>35000</v>
      </c>
      <c r="D10" s="406">
        <v>35000</v>
      </c>
    </row>
    <row r="11" spans="1:4" x14ac:dyDescent="0.2">
      <c r="A11" s="407">
        <v>3</v>
      </c>
      <c r="B11" s="211" t="s">
        <v>620</v>
      </c>
      <c r="C11" s="405">
        <v>740000</v>
      </c>
      <c r="D11" s="406">
        <v>740000</v>
      </c>
    </row>
    <row r="12" spans="1:4" x14ac:dyDescent="0.2">
      <c r="A12" s="211">
        <v>4</v>
      </c>
      <c r="B12" s="211" t="s">
        <v>621</v>
      </c>
      <c r="C12" s="405">
        <v>610000</v>
      </c>
      <c r="D12" s="406">
        <v>610000</v>
      </c>
    </row>
    <row r="13" spans="1:4" x14ac:dyDescent="0.2">
      <c r="A13" s="407">
        <v>5</v>
      </c>
      <c r="B13" s="211" t="s">
        <v>473</v>
      </c>
      <c r="C13" s="405">
        <v>9747380</v>
      </c>
      <c r="D13" s="406">
        <v>9747380</v>
      </c>
    </row>
    <row r="14" spans="1:4" x14ac:dyDescent="0.2">
      <c r="A14" s="211">
        <v>6</v>
      </c>
      <c r="B14" s="211" t="s">
        <v>651</v>
      </c>
      <c r="C14" s="405">
        <v>1247700</v>
      </c>
      <c r="D14" s="406">
        <v>1247700</v>
      </c>
    </row>
    <row r="15" spans="1:4" x14ac:dyDescent="0.2">
      <c r="A15" s="407">
        <v>7</v>
      </c>
      <c r="B15" s="211" t="s">
        <v>622</v>
      </c>
      <c r="C15" s="405">
        <v>8399520</v>
      </c>
      <c r="D15" s="406">
        <f>+C15*3</f>
        <v>25198560</v>
      </c>
    </row>
    <row r="16" spans="1:4" x14ac:dyDescent="0.2">
      <c r="A16" s="211">
        <v>8</v>
      </c>
      <c r="B16" s="408" t="s">
        <v>623</v>
      </c>
      <c r="C16" s="405">
        <v>870000</v>
      </c>
      <c r="D16" s="406">
        <f>+C16*3</f>
        <v>2610000</v>
      </c>
    </row>
    <row r="17" spans="1:14" ht="17.25" x14ac:dyDescent="0.35">
      <c r="A17" s="407">
        <v>9</v>
      </c>
      <c r="B17" s="211" t="s">
        <v>624</v>
      </c>
      <c r="C17" s="405">
        <v>477860</v>
      </c>
      <c r="D17" s="409">
        <f>+C17*3</f>
        <v>1433580</v>
      </c>
    </row>
    <row r="18" spans="1:14" ht="15.75" x14ac:dyDescent="0.25">
      <c r="A18" s="211"/>
      <c r="B18" s="410" t="s">
        <v>475</v>
      </c>
      <c r="C18" s="410"/>
      <c r="D18" s="411">
        <f>SUM(D9:D17)</f>
        <v>50021740</v>
      </c>
    </row>
    <row r="19" spans="1:14" x14ac:dyDescent="0.2">
      <c r="A19" s="211"/>
      <c r="B19" s="191"/>
      <c r="C19" s="191"/>
      <c r="D19" s="191"/>
    </row>
    <row r="20" spans="1:14" x14ac:dyDescent="0.2">
      <c r="A20" s="211"/>
      <c r="B20" s="191"/>
      <c r="C20" s="212" t="s">
        <v>476</v>
      </c>
      <c r="D20" s="412" t="s">
        <v>477</v>
      </c>
    </row>
    <row r="21" spans="1:14" ht="22.5" customHeight="1" x14ac:dyDescent="0.4">
      <c r="A21" s="211"/>
      <c r="B21" s="413" t="s">
        <v>618</v>
      </c>
      <c r="C21" s="414"/>
      <c r="D21" s="415">
        <f>+D18/12</f>
        <v>4168478.3333333335</v>
      </c>
    </row>
    <row r="22" spans="1:14" x14ac:dyDescent="0.2">
      <c r="A22" s="211"/>
      <c r="B22" s="191"/>
      <c r="C22" s="191"/>
      <c r="D22" s="191"/>
      <c r="E22" s="21"/>
      <c r="I22" s="29"/>
    </row>
    <row r="23" spans="1:14" x14ac:dyDescent="0.2">
      <c r="A23" s="24"/>
      <c r="E23" s="29"/>
      <c r="I23" s="29"/>
      <c r="J23" s="29"/>
      <c r="K23" s="29"/>
      <c r="L23" s="29"/>
      <c r="M23" s="29"/>
      <c r="N23" s="29"/>
    </row>
    <row r="24" spans="1:14" x14ac:dyDescent="0.2">
      <c r="A24" s="24"/>
      <c r="E24" s="26"/>
      <c r="I24" s="29"/>
      <c r="J24" s="29"/>
      <c r="K24" s="29"/>
      <c r="L24" s="29"/>
      <c r="M24" s="29"/>
      <c r="N24" s="29"/>
    </row>
    <row r="25" spans="1:14" ht="15.75" x14ac:dyDescent="0.25">
      <c r="A25" s="24"/>
      <c r="E25" s="26"/>
      <c r="G25" s="209"/>
      <c r="I25" s="29"/>
      <c r="J25" s="29"/>
      <c r="K25" s="29"/>
      <c r="L25" s="29"/>
      <c r="M25" s="29"/>
      <c r="N25" s="29"/>
    </row>
    <row r="26" spans="1:14" ht="15.75" thickBot="1" x14ac:dyDescent="0.25">
      <c r="A26" s="24"/>
      <c r="E26" s="26"/>
      <c r="I26" s="29"/>
      <c r="J26" s="29"/>
      <c r="K26" s="29"/>
      <c r="L26" s="29"/>
      <c r="M26" s="29"/>
      <c r="N26" s="29"/>
    </row>
    <row r="27" spans="1:14" ht="16.5" thickBot="1" x14ac:dyDescent="0.25">
      <c r="A27" s="24"/>
      <c r="B27" s="454" t="s">
        <v>649</v>
      </c>
      <c r="C27" s="453" t="s">
        <v>226</v>
      </c>
      <c r="D27" s="455" t="s">
        <v>650</v>
      </c>
      <c r="E27" s="26"/>
      <c r="J27" s="29"/>
      <c r="K27" s="29"/>
      <c r="L27" s="29"/>
      <c r="M27" s="29"/>
      <c r="N27" s="29"/>
    </row>
    <row r="28" spans="1:14" x14ac:dyDescent="0.2">
      <c r="A28" s="24"/>
      <c r="B28" s="451">
        <v>45658</v>
      </c>
      <c r="C28" s="456">
        <v>4158693.44</v>
      </c>
      <c r="D28" s="419">
        <f>+C28</f>
        <v>4158693.44</v>
      </c>
      <c r="E28" s="26"/>
      <c r="J28" s="29"/>
      <c r="K28" s="29"/>
      <c r="L28" s="29"/>
      <c r="M28" s="29"/>
      <c r="N28" s="29"/>
    </row>
    <row r="29" spans="1:14" x14ac:dyDescent="0.2">
      <c r="B29" s="451">
        <v>45689</v>
      </c>
      <c r="C29" s="420">
        <v>4178263.23</v>
      </c>
      <c r="D29" s="3">
        <f t="shared" ref="D29:D34" si="0">+D28+C29</f>
        <v>8336956.6699999999</v>
      </c>
      <c r="E29" s="26"/>
      <c r="J29" s="29"/>
      <c r="K29" s="29"/>
      <c r="L29" s="29"/>
      <c r="M29" s="29"/>
      <c r="N29" s="29"/>
    </row>
    <row r="30" spans="1:14" x14ac:dyDescent="0.2">
      <c r="B30" s="451">
        <v>45717</v>
      </c>
      <c r="C30" s="420">
        <v>4168478.33</v>
      </c>
      <c r="D30" s="3">
        <f t="shared" si="0"/>
        <v>12505435</v>
      </c>
      <c r="E30" s="26"/>
      <c r="I30" s="29"/>
      <c r="J30" s="29"/>
      <c r="K30" s="29"/>
      <c r="L30" s="29"/>
      <c r="M30" s="29"/>
      <c r="N30" s="29"/>
    </row>
    <row r="31" spans="1:14" x14ac:dyDescent="0.2">
      <c r="B31" s="451">
        <v>45748</v>
      </c>
      <c r="C31" s="420">
        <v>4168478.33</v>
      </c>
      <c r="D31" s="419">
        <f t="shared" si="0"/>
        <v>16673913.33</v>
      </c>
      <c r="E31" s="26"/>
    </row>
    <row r="32" spans="1:14" x14ac:dyDescent="0.2">
      <c r="B32" s="451">
        <v>45778</v>
      </c>
      <c r="C32" s="420">
        <v>4168478.33</v>
      </c>
      <c r="D32" s="419">
        <f t="shared" si="0"/>
        <v>20842391.66</v>
      </c>
      <c r="E32" s="21"/>
    </row>
    <row r="33" spans="2:5" x14ac:dyDescent="0.2">
      <c r="B33" s="451">
        <v>45809</v>
      </c>
      <c r="C33" s="149">
        <v>4168478.33</v>
      </c>
      <c r="D33" s="419">
        <f t="shared" si="0"/>
        <v>25010869.990000002</v>
      </c>
    </row>
    <row r="34" spans="2:5" x14ac:dyDescent="0.2">
      <c r="B34" s="510">
        <v>45839</v>
      </c>
      <c r="C34" s="431">
        <v>4168478.33</v>
      </c>
      <c r="D34" s="509">
        <f t="shared" si="0"/>
        <v>29179348.32</v>
      </c>
    </row>
    <row r="35" spans="2:5" x14ac:dyDescent="0.2">
      <c r="B35" s="451">
        <v>45870</v>
      </c>
      <c r="C35" s="149">
        <v>4168478.33</v>
      </c>
      <c r="D35" s="419">
        <f t="shared" ref="D35:D36" si="1">+D34+C35</f>
        <v>33347826.649999999</v>
      </c>
      <c r="E35" s="21"/>
    </row>
    <row r="36" spans="2:5" x14ac:dyDescent="0.2">
      <c r="B36" s="452">
        <v>45901</v>
      </c>
      <c r="C36" s="421">
        <v>4168478.33</v>
      </c>
      <c r="D36" s="422">
        <f t="shared" si="1"/>
        <v>37516304.979999997</v>
      </c>
    </row>
    <row r="37" spans="2:5" hidden="1" x14ac:dyDescent="0.2">
      <c r="B37" s="451">
        <v>45931</v>
      </c>
      <c r="C37" s="450"/>
      <c r="D37" s="419">
        <f t="shared" ref="D37:D39" si="2">+C37</f>
        <v>0</v>
      </c>
    </row>
    <row r="38" spans="2:5" hidden="1" x14ac:dyDescent="0.2">
      <c r="B38" s="451">
        <v>45962</v>
      </c>
      <c r="C38" s="450"/>
      <c r="D38" s="419">
        <f t="shared" si="2"/>
        <v>0</v>
      </c>
    </row>
    <row r="39" spans="2:5" hidden="1" x14ac:dyDescent="0.2">
      <c r="B39" s="451">
        <v>45992</v>
      </c>
      <c r="C39" s="450"/>
      <c r="D39" s="419">
        <f t="shared" si="2"/>
        <v>0</v>
      </c>
    </row>
    <row r="40" spans="2:5" hidden="1" x14ac:dyDescent="0.2">
      <c r="C40" s="450"/>
      <c r="D40" s="191"/>
    </row>
    <row r="41" spans="2:5" ht="16.5" thickBot="1" x14ac:dyDescent="0.3">
      <c r="C41" s="295">
        <f>SUM(C28:C40)</f>
        <v>37516304.979999997</v>
      </c>
    </row>
    <row r="42" spans="2:5" ht="15.75" thickTop="1" x14ac:dyDescent="0.2"/>
    <row r="45" spans="2:5" x14ac:dyDescent="0.2">
      <c r="B45" s="4" t="s">
        <v>495</v>
      </c>
      <c r="C45" s="274">
        <f>+D21</f>
        <v>4168478.3333333335</v>
      </c>
    </row>
    <row r="46" spans="2:5" ht="15.75" x14ac:dyDescent="0.25">
      <c r="B46" s="24" t="s">
        <v>856</v>
      </c>
      <c r="C46" s="274">
        <v>664227</v>
      </c>
      <c r="E46" s="449"/>
    </row>
    <row r="47" spans="2:5" ht="16.5" thickBot="1" x14ac:dyDescent="0.3">
      <c r="B47" s="209" t="s">
        <v>617</v>
      </c>
      <c r="C47" s="423">
        <f>+C45-C46</f>
        <v>3504251.3333333335</v>
      </c>
    </row>
    <row r="48" spans="2:5" ht="15.75" thickTop="1" x14ac:dyDescent="0.2"/>
  </sheetData>
  <phoneticPr fontId="75" type="noConversion"/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1">
    <pageSetUpPr fitToPage="1"/>
  </sheetPr>
  <dimension ref="A2:G42"/>
  <sheetViews>
    <sheetView zoomScaleNormal="100" workbookViewId="0">
      <selection activeCell="C34" sqref="A1:C34"/>
    </sheetView>
  </sheetViews>
  <sheetFormatPr baseColWidth="10" defaultColWidth="11.42578125" defaultRowHeight="15" x14ac:dyDescent="0.2"/>
  <cols>
    <col min="1" max="1" width="30" style="4" customWidth="1"/>
    <col min="2" max="2" width="22" style="4" bestFit="1" customWidth="1"/>
    <col min="3" max="3" width="20.85546875" style="4" customWidth="1"/>
    <col min="4" max="5" width="11.42578125" style="4"/>
    <col min="6" max="6" width="14.7109375" style="4" bestFit="1" customWidth="1"/>
    <col min="7" max="7" width="16.42578125" style="4" bestFit="1" customWidth="1"/>
    <col min="8" max="8" width="12.7109375" style="4" bestFit="1" customWidth="1"/>
    <col min="9" max="16384" width="11.42578125" style="4"/>
  </cols>
  <sheetData>
    <row r="2" spans="1:7" x14ac:dyDescent="0.2">
      <c r="B2" s="24"/>
    </row>
    <row r="3" spans="1:7" x14ac:dyDescent="0.2">
      <c r="B3" s="24"/>
    </row>
    <row r="4" spans="1:7" ht="15.75" x14ac:dyDescent="0.25">
      <c r="A4" s="209"/>
      <c r="B4" s="209"/>
      <c r="C4" s="209"/>
      <c r="D4" s="209"/>
      <c r="E4" s="209"/>
    </row>
    <row r="5" spans="1:7" ht="18.75" customHeight="1" x14ac:dyDescent="0.25">
      <c r="A5" s="40" t="s">
        <v>490</v>
      </c>
      <c r="B5" s="427"/>
      <c r="C5" s="427"/>
      <c r="D5" s="427"/>
      <c r="E5" s="427"/>
    </row>
    <row r="6" spans="1:7" ht="18.75" customHeight="1" x14ac:dyDescent="0.25">
      <c r="A6" s="40" t="s">
        <v>611</v>
      </c>
      <c r="B6" s="427"/>
      <c r="C6" s="427"/>
      <c r="D6" s="427"/>
      <c r="E6" s="427"/>
      <c r="G6" s="29"/>
    </row>
    <row r="7" spans="1:7" ht="16.5" thickBot="1" x14ac:dyDescent="0.3">
      <c r="A7" s="40"/>
      <c r="B7" s="427"/>
      <c r="C7" s="427"/>
      <c r="D7" s="427"/>
      <c r="E7" s="427"/>
      <c r="G7" s="29"/>
    </row>
    <row r="8" spans="1:7" ht="18.75" customHeight="1" thickBot="1" x14ac:dyDescent="0.3">
      <c r="A8" s="400" t="s">
        <v>472</v>
      </c>
      <c r="B8" s="428" t="s">
        <v>226</v>
      </c>
      <c r="C8" s="274"/>
      <c r="G8" s="29"/>
    </row>
    <row r="9" spans="1:7" x14ac:dyDescent="0.2">
      <c r="A9" s="429" t="s">
        <v>491</v>
      </c>
      <c r="B9" s="430">
        <v>477860</v>
      </c>
      <c r="C9" s="274"/>
      <c r="G9" s="29"/>
    </row>
    <row r="10" spans="1:7" x14ac:dyDescent="0.2">
      <c r="A10" s="211" t="s">
        <v>492</v>
      </c>
      <c r="B10" s="431">
        <f>+'[1]Provision Regalia nav'!$H$7</f>
        <v>8399520</v>
      </c>
      <c r="C10" s="274"/>
      <c r="G10" s="29"/>
    </row>
    <row r="11" spans="1:7" ht="17.25" x14ac:dyDescent="0.35">
      <c r="A11" s="211" t="s">
        <v>493</v>
      </c>
      <c r="B11" s="432">
        <v>870000</v>
      </c>
      <c r="C11" s="274"/>
      <c r="G11" s="29"/>
    </row>
    <row r="12" spans="1:7" ht="18" x14ac:dyDescent="0.4">
      <c r="A12" s="410" t="s">
        <v>242</v>
      </c>
      <c r="B12" s="204">
        <f>SUM(B9:B11)</f>
        <v>9747380</v>
      </c>
      <c r="C12" s="274"/>
      <c r="G12" s="29"/>
    </row>
    <row r="13" spans="1:7" x14ac:dyDescent="0.2">
      <c r="A13" s="211"/>
      <c r="B13" s="431"/>
      <c r="C13" s="274"/>
      <c r="G13" s="29"/>
    </row>
    <row r="14" spans="1:7" x14ac:dyDescent="0.2">
      <c r="A14" s="24"/>
      <c r="B14" s="433"/>
      <c r="C14" s="274"/>
      <c r="G14" s="29"/>
    </row>
    <row r="15" spans="1:7" ht="15.75" thickBot="1" x14ac:dyDescent="0.25">
      <c r="A15" s="274" t="s">
        <v>494</v>
      </c>
      <c r="B15" s="24"/>
      <c r="C15" s="274"/>
      <c r="G15" s="29"/>
    </row>
    <row r="16" spans="1:7" ht="16.5" thickBot="1" x14ac:dyDescent="0.3">
      <c r="A16" s="4" t="s">
        <v>495</v>
      </c>
      <c r="B16" s="434">
        <f>+B12/12</f>
        <v>812281.66666666663</v>
      </c>
      <c r="G16" s="29"/>
    </row>
    <row r="17" spans="1:7" ht="15.75" x14ac:dyDescent="0.25">
      <c r="A17" s="24"/>
      <c r="B17" s="274"/>
      <c r="C17" s="66"/>
      <c r="G17" s="29"/>
    </row>
    <row r="18" spans="1:7" ht="15.75" x14ac:dyDescent="0.25">
      <c r="C18" s="66"/>
      <c r="G18" s="29"/>
    </row>
    <row r="19" spans="1:7" ht="33" customHeight="1" thickBot="1" x14ac:dyDescent="0.3">
      <c r="A19" s="24"/>
      <c r="B19" s="274"/>
      <c r="C19" s="66"/>
      <c r="G19" s="29"/>
    </row>
    <row r="20" spans="1:7" ht="19.5" customHeight="1" thickBot="1" x14ac:dyDescent="0.3">
      <c r="A20" s="416" t="s">
        <v>649</v>
      </c>
      <c r="B20" s="417" t="s">
        <v>226</v>
      </c>
      <c r="C20" s="418" t="s">
        <v>650</v>
      </c>
      <c r="G20" s="29"/>
    </row>
    <row r="21" spans="1:7" x14ac:dyDescent="0.2">
      <c r="A21" s="4" t="s">
        <v>489</v>
      </c>
      <c r="B21" s="29">
        <f>+B16</f>
        <v>812281.66666666663</v>
      </c>
      <c r="C21" s="274">
        <f>+B21</f>
        <v>812281.66666666663</v>
      </c>
      <c r="G21" s="29"/>
    </row>
    <row r="22" spans="1:7" x14ac:dyDescent="0.2">
      <c r="A22" s="4" t="s">
        <v>496</v>
      </c>
      <c r="B22" s="29">
        <f t="shared" ref="B22:B29" si="0">+B21</f>
        <v>812281.66666666663</v>
      </c>
      <c r="C22" s="274">
        <f>SUM(B21:B22)</f>
        <v>1624563.3333333333</v>
      </c>
    </row>
    <row r="23" spans="1:7" x14ac:dyDescent="0.2">
      <c r="A23" s="4" t="s">
        <v>479</v>
      </c>
      <c r="B23" s="29">
        <f t="shared" si="0"/>
        <v>812281.66666666663</v>
      </c>
      <c r="C23" s="274">
        <f>SUM(B21:B23)+0.01</f>
        <v>2436845.0099999998</v>
      </c>
    </row>
    <row r="24" spans="1:7" x14ac:dyDescent="0.2">
      <c r="A24" s="4" t="s">
        <v>480</v>
      </c>
      <c r="B24" s="29">
        <f t="shared" si="0"/>
        <v>812281.66666666663</v>
      </c>
      <c r="C24" s="29">
        <f t="shared" ref="C24:C29" si="1">+C23+B24</f>
        <v>3249126.6766666663</v>
      </c>
    </row>
    <row r="25" spans="1:7" x14ac:dyDescent="0.2">
      <c r="A25" s="4" t="s">
        <v>481</v>
      </c>
      <c r="B25" s="29">
        <f t="shared" si="0"/>
        <v>812281.66666666663</v>
      </c>
      <c r="C25" s="29">
        <f t="shared" si="1"/>
        <v>4061408.3433333328</v>
      </c>
    </row>
    <row r="26" spans="1:7" x14ac:dyDescent="0.2">
      <c r="A26" s="4" t="s">
        <v>482</v>
      </c>
      <c r="B26" s="29">
        <f t="shared" si="0"/>
        <v>812281.66666666663</v>
      </c>
      <c r="C26" s="29">
        <f t="shared" si="1"/>
        <v>4873690.01</v>
      </c>
    </row>
    <row r="27" spans="1:7" x14ac:dyDescent="0.2">
      <c r="A27" s="4" t="s">
        <v>483</v>
      </c>
      <c r="B27" s="29">
        <f t="shared" si="0"/>
        <v>812281.66666666663</v>
      </c>
      <c r="C27" s="29">
        <f t="shared" si="1"/>
        <v>5685971.6766666668</v>
      </c>
    </row>
    <row r="28" spans="1:7" x14ac:dyDescent="0.2">
      <c r="A28" s="4" t="s">
        <v>484</v>
      </c>
      <c r="B28" s="29">
        <f t="shared" si="0"/>
        <v>812281.66666666663</v>
      </c>
      <c r="C28" s="29">
        <f t="shared" si="1"/>
        <v>6498253.3433333337</v>
      </c>
    </row>
    <row r="29" spans="1:7" x14ac:dyDescent="0.2">
      <c r="A29" s="30" t="s">
        <v>485</v>
      </c>
      <c r="B29" s="44">
        <f t="shared" si="0"/>
        <v>812281.66666666663</v>
      </c>
      <c r="C29" s="44">
        <f t="shared" si="1"/>
        <v>7310535.0100000007</v>
      </c>
    </row>
    <row r="30" spans="1:7" hidden="1" x14ac:dyDescent="0.2">
      <c r="A30" s="4" t="s">
        <v>486</v>
      </c>
      <c r="B30" s="29"/>
      <c r="C30" s="274"/>
    </row>
    <row r="31" spans="1:7" hidden="1" x14ac:dyDescent="0.2">
      <c r="A31" s="4" t="s">
        <v>487</v>
      </c>
      <c r="B31" s="29"/>
      <c r="C31" s="274"/>
    </row>
    <row r="32" spans="1:7" hidden="1" x14ac:dyDescent="0.2">
      <c r="A32" s="4" t="s">
        <v>609</v>
      </c>
      <c r="B32" s="44"/>
      <c r="C32" s="274"/>
    </row>
    <row r="33" spans="1:4" ht="16.5" thickBot="1" x14ac:dyDescent="0.3">
      <c r="A33" s="435" t="s">
        <v>488</v>
      </c>
      <c r="B33" s="436">
        <f>SUM(B21:B32)</f>
        <v>7310535.0000000009</v>
      </c>
    </row>
    <row r="34" spans="1:4" ht="15.75" thickTop="1" x14ac:dyDescent="0.2">
      <c r="A34" s="24"/>
      <c r="B34" s="24"/>
      <c r="C34" s="29"/>
      <c r="D34" s="274"/>
    </row>
    <row r="36" spans="1:4" x14ac:dyDescent="0.2">
      <c r="A36" s="4" t="s">
        <v>495</v>
      </c>
      <c r="B36" s="274">
        <f>+B16</f>
        <v>812281.66666666663</v>
      </c>
    </row>
    <row r="37" spans="1:4" ht="15.75" x14ac:dyDescent="0.25">
      <c r="A37" s="555" t="s">
        <v>857</v>
      </c>
      <c r="B37" s="2">
        <v>791338.21</v>
      </c>
      <c r="C37" s="449"/>
    </row>
    <row r="38" spans="1:4" ht="16.5" thickBot="1" x14ac:dyDescent="0.3">
      <c r="A38" s="209" t="s">
        <v>617</v>
      </c>
      <c r="B38" s="423">
        <f>+B36-B37</f>
        <v>20943.456666666665</v>
      </c>
    </row>
    <row r="39" spans="1:4" ht="15.75" thickTop="1" x14ac:dyDescent="0.2"/>
    <row r="42" spans="1:4" x14ac:dyDescent="0.2">
      <c r="C42" s="21"/>
    </row>
  </sheetData>
  <phoneticPr fontId="75" type="noConversion"/>
  <pageMargins left="1.1023622047244095" right="0.70866141732283472" top="0.74803149606299213" bottom="0.74803149606299213" header="0.31496062992125984" footer="0.31496062992125984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2">
    <pageSetUpPr fitToPage="1"/>
  </sheetPr>
  <dimension ref="A4:AO114"/>
  <sheetViews>
    <sheetView view="pageBreakPreview" topLeftCell="C86" zoomScale="70" zoomScaleNormal="100" zoomScaleSheetLayoutView="70" workbookViewId="0">
      <selection sqref="A1:W97"/>
    </sheetView>
  </sheetViews>
  <sheetFormatPr baseColWidth="10" defaultColWidth="10.85546875" defaultRowHeight="15" x14ac:dyDescent="0.2"/>
  <cols>
    <col min="1" max="1" width="8.7109375" style="513" bestFit="1" customWidth="1"/>
    <col min="2" max="2" width="58.7109375" style="513" customWidth="1"/>
    <col min="3" max="3" width="12.5703125" style="516" bestFit="1" customWidth="1"/>
    <col min="4" max="4" width="38.85546875" bestFit="1" customWidth="1"/>
    <col min="5" max="5" width="13.28515625" bestFit="1" customWidth="1"/>
    <col min="6" max="6" width="15.42578125" bestFit="1" customWidth="1"/>
    <col min="7" max="7" width="14.140625" bestFit="1" customWidth="1"/>
    <col min="8" max="8" width="10.28515625" bestFit="1" customWidth="1"/>
    <col min="9" max="10" width="12.42578125" style="516" customWidth="1"/>
    <col min="11" max="16" width="12.42578125" customWidth="1"/>
    <col min="17" max="17" width="12.5703125" bestFit="1" customWidth="1"/>
    <col min="18" max="18" width="10.7109375" hidden="1" customWidth="1"/>
    <col min="19" max="19" width="13" hidden="1" customWidth="1"/>
    <col min="20" max="20" width="14" hidden="1" customWidth="1"/>
    <col min="21" max="21" width="20" bestFit="1" customWidth="1"/>
    <col min="22" max="22" width="20.7109375" bestFit="1" customWidth="1"/>
    <col min="23" max="23" width="2.85546875" bestFit="1" customWidth="1"/>
    <col min="25" max="25" width="1.28515625" bestFit="1" customWidth="1"/>
  </cols>
  <sheetData>
    <row r="4" spans="1:22" ht="15" customHeight="1" x14ac:dyDescent="0.2">
      <c r="B4" s="514" t="s">
        <v>522</v>
      </c>
      <c r="C4" s="515"/>
    </row>
    <row r="5" spans="1:22" ht="18.75" customHeight="1" x14ac:dyDescent="0.2">
      <c r="B5" s="517" t="s">
        <v>612</v>
      </c>
      <c r="C5" s="515"/>
    </row>
    <row r="6" spans="1:22" ht="15" customHeight="1" thickBot="1" x14ac:dyDescent="0.25">
      <c r="C6" s="515"/>
    </row>
    <row r="7" spans="1:22" ht="35.25" thickBot="1" x14ac:dyDescent="0.25">
      <c r="A7" s="518" t="s">
        <v>299</v>
      </c>
      <c r="B7" s="519" t="s">
        <v>613</v>
      </c>
      <c r="C7" s="556" t="s">
        <v>523</v>
      </c>
      <c r="D7" s="520" t="s">
        <v>301</v>
      </c>
      <c r="E7" s="520" t="s">
        <v>524</v>
      </c>
      <c r="F7" s="521" t="s">
        <v>525</v>
      </c>
      <c r="G7" s="522" t="s">
        <v>614</v>
      </c>
      <c r="H7" s="574" t="s">
        <v>526</v>
      </c>
      <c r="I7" s="574" t="s">
        <v>489</v>
      </c>
      <c r="J7" s="574" t="s">
        <v>478</v>
      </c>
      <c r="K7" s="574" t="s">
        <v>479</v>
      </c>
      <c r="L7" s="574" t="s">
        <v>480</v>
      </c>
      <c r="M7" s="574" t="s">
        <v>481</v>
      </c>
      <c r="N7" s="574" t="s">
        <v>482</v>
      </c>
      <c r="O7" s="574" t="s">
        <v>483</v>
      </c>
      <c r="P7" s="574" t="s">
        <v>484</v>
      </c>
      <c r="Q7" s="573" t="s">
        <v>485</v>
      </c>
      <c r="R7" s="574" t="s">
        <v>486</v>
      </c>
      <c r="S7" s="574" t="s">
        <v>487</v>
      </c>
      <c r="T7" s="574" t="s">
        <v>615</v>
      </c>
      <c r="U7" s="523" t="s">
        <v>616</v>
      </c>
      <c r="V7" s="520" t="s">
        <v>635</v>
      </c>
    </row>
    <row r="8" spans="1:22" s="528" customFormat="1" ht="19.5" x14ac:dyDescent="0.3">
      <c r="A8" s="524">
        <v>1</v>
      </c>
      <c r="B8" s="525" t="s">
        <v>527</v>
      </c>
      <c r="C8" s="526">
        <v>10</v>
      </c>
      <c r="D8" s="527" t="s">
        <v>528</v>
      </c>
      <c r="E8" s="547">
        <v>145000</v>
      </c>
      <c r="F8" s="548">
        <f>E8/21.67</f>
        <v>6691.2782648823249</v>
      </c>
      <c r="G8" s="549">
        <v>30</v>
      </c>
      <c r="H8" s="557">
        <f>C8+G8</f>
        <v>40</v>
      </c>
      <c r="I8" s="568">
        <v>2</v>
      </c>
      <c r="J8" s="568"/>
      <c r="K8" s="557"/>
      <c r="L8" s="557">
        <v>8</v>
      </c>
      <c r="M8" s="557"/>
      <c r="N8" s="569">
        <v>10</v>
      </c>
      <c r="O8" s="557"/>
      <c r="P8" s="557"/>
      <c r="Q8" s="557"/>
      <c r="R8" s="557"/>
      <c r="S8" s="557"/>
      <c r="T8" s="557"/>
      <c r="U8" s="560">
        <f>H8-I8-J8-K8-L8-M8-N8-O8-P8-Q8-R8-S8-T8</f>
        <v>20</v>
      </c>
      <c r="V8" s="561">
        <f t="shared" ref="V8:V71" si="0">F8*U8</f>
        <v>133825.56529764651</v>
      </c>
    </row>
    <row r="9" spans="1:22" s="528" customFormat="1" ht="19.5" x14ac:dyDescent="0.3">
      <c r="A9" s="529">
        <v>2</v>
      </c>
      <c r="B9" s="530" t="s">
        <v>674</v>
      </c>
      <c r="C9" s="531">
        <v>16</v>
      </c>
      <c r="D9" s="532" t="s">
        <v>529</v>
      </c>
      <c r="E9" s="550">
        <v>115000</v>
      </c>
      <c r="F9" s="548">
        <f t="shared" ref="F9:F54" si="1">E9/21.67</f>
        <v>5306.8758652514989</v>
      </c>
      <c r="G9" s="551">
        <v>30</v>
      </c>
      <c r="H9" s="557">
        <f t="shared" ref="H9:H72" si="2">C9+G9</f>
        <v>46</v>
      </c>
      <c r="I9" s="570"/>
      <c r="J9" s="570"/>
      <c r="K9" s="558"/>
      <c r="L9" s="558">
        <v>24</v>
      </c>
      <c r="M9" s="558"/>
      <c r="N9" s="558"/>
      <c r="O9" s="558"/>
      <c r="P9" s="558">
        <v>4</v>
      </c>
      <c r="Q9" s="558"/>
      <c r="R9" s="558"/>
      <c r="S9" s="558"/>
      <c r="T9" s="558"/>
      <c r="U9" s="560">
        <f t="shared" ref="U9:U72" si="3">H9-I9-J9-K9-L9-M9-N9-O9-P9-Q9-R9-S9-T9</f>
        <v>18</v>
      </c>
      <c r="V9" s="561">
        <f t="shared" si="0"/>
        <v>95523.765574526973</v>
      </c>
    </row>
    <row r="10" spans="1:22" s="528" customFormat="1" ht="19.5" x14ac:dyDescent="0.3">
      <c r="A10" s="529">
        <v>3</v>
      </c>
      <c r="B10" s="530" t="s">
        <v>675</v>
      </c>
      <c r="C10" s="531">
        <v>0</v>
      </c>
      <c r="D10" s="532" t="s">
        <v>543</v>
      </c>
      <c r="E10" s="550">
        <v>36000</v>
      </c>
      <c r="F10" s="548">
        <f t="shared" si="1"/>
        <v>1661.282879556991</v>
      </c>
      <c r="G10" s="551">
        <v>30</v>
      </c>
      <c r="H10" s="557">
        <f t="shared" si="2"/>
        <v>30</v>
      </c>
      <c r="I10" s="570"/>
      <c r="J10" s="570"/>
      <c r="K10" s="558"/>
      <c r="L10" s="558"/>
      <c r="M10" s="558"/>
      <c r="N10" s="558"/>
      <c r="O10" s="558"/>
      <c r="P10" s="558"/>
      <c r="Q10" s="558"/>
      <c r="R10" s="558"/>
      <c r="S10" s="558"/>
      <c r="T10" s="558"/>
      <c r="U10" s="560">
        <f t="shared" si="3"/>
        <v>30</v>
      </c>
      <c r="V10" s="561">
        <f t="shared" si="0"/>
        <v>49838.48638670973</v>
      </c>
    </row>
    <row r="11" spans="1:22" s="528" customFormat="1" ht="19.5" x14ac:dyDescent="0.3">
      <c r="A11" s="524">
        <v>4</v>
      </c>
      <c r="B11" s="534" t="s">
        <v>530</v>
      </c>
      <c r="C11" s="531">
        <v>0</v>
      </c>
      <c r="D11" s="532" t="s">
        <v>531</v>
      </c>
      <c r="E11" s="550">
        <v>127000</v>
      </c>
      <c r="F11" s="548">
        <f t="shared" si="1"/>
        <v>5860.6368251038293</v>
      </c>
      <c r="G11" s="551">
        <v>25</v>
      </c>
      <c r="H11" s="557">
        <f t="shared" si="2"/>
        <v>25</v>
      </c>
      <c r="I11" s="570"/>
      <c r="J11" s="570">
        <v>5</v>
      </c>
      <c r="K11" s="558"/>
      <c r="L11" s="558"/>
      <c r="M11" s="558"/>
      <c r="N11" s="571">
        <v>1</v>
      </c>
      <c r="O11" s="558"/>
      <c r="P11" s="558">
        <v>11</v>
      </c>
      <c r="Q11" s="558"/>
      <c r="R11" s="558"/>
      <c r="S11" s="558"/>
      <c r="T11" s="558"/>
      <c r="U11" s="560">
        <f t="shared" si="3"/>
        <v>8</v>
      </c>
      <c r="V11" s="561">
        <f t="shared" si="0"/>
        <v>46885.094600830635</v>
      </c>
    </row>
    <row r="12" spans="1:22" s="528" customFormat="1" ht="19.5" x14ac:dyDescent="0.3">
      <c r="A12" s="529">
        <v>5</v>
      </c>
      <c r="B12" s="534" t="s">
        <v>676</v>
      </c>
      <c r="C12" s="531">
        <v>4</v>
      </c>
      <c r="D12" s="532" t="s">
        <v>540</v>
      </c>
      <c r="E12" s="550">
        <v>95000</v>
      </c>
      <c r="F12" s="548">
        <f t="shared" si="1"/>
        <v>4383.9409321642825</v>
      </c>
      <c r="G12" s="551">
        <v>20</v>
      </c>
      <c r="H12" s="557">
        <f t="shared" si="2"/>
        <v>24</v>
      </c>
      <c r="I12" s="570">
        <v>3</v>
      </c>
      <c r="J12" s="570"/>
      <c r="K12" s="558"/>
      <c r="L12" s="558"/>
      <c r="M12" s="558"/>
      <c r="N12" s="558"/>
      <c r="O12" s="558"/>
      <c r="P12" s="558"/>
      <c r="Q12" s="558"/>
      <c r="R12" s="558"/>
      <c r="S12" s="558"/>
      <c r="T12" s="558"/>
      <c r="U12" s="560">
        <f t="shared" si="3"/>
        <v>21</v>
      </c>
      <c r="V12" s="561">
        <f t="shared" si="0"/>
        <v>92062.759575449934</v>
      </c>
    </row>
    <row r="13" spans="1:22" s="528" customFormat="1" ht="19.5" x14ac:dyDescent="0.3">
      <c r="A13" s="529">
        <v>6</v>
      </c>
      <c r="B13" s="530" t="s">
        <v>836</v>
      </c>
      <c r="C13" s="531">
        <v>0</v>
      </c>
      <c r="D13" s="532" t="s">
        <v>545</v>
      </c>
      <c r="E13" s="550">
        <v>25000</v>
      </c>
      <c r="F13" s="548">
        <f t="shared" si="1"/>
        <v>1153.6686663590217</v>
      </c>
      <c r="G13" s="551">
        <v>15</v>
      </c>
      <c r="H13" s="557">
        <f>C13+G13</f>
        <v>15</v>
      </c>
      <c r="I13" s="570"/>
      <c r="J13" s="570"/>
      <c r="K13" s="558"/>
      <c r="L13" s="558"/>
      <c r="M13" s="558"/>
      <c r="N13" s="558"/>
      <c r="O13" s="558"/>
      <c r="P13" s="558"/>
      <c r="Q13" s="558"/>
      <c r="R13" s="558"/>
      <c r="S13" s="558"/>
      <c r="T13" s="558"/>
      <c r="U13" s="560">
        <f t="shared" si="3"/>
        <v>15</v>
      </c>
      <c r="V13" s="561">
        <f t="shared" si="0"/>
        <v>17305.029995385325</v>
      </c>
    </row>
    <row r="14" spans="1:22" s="528" customFormat="1" ht="19.5" x14ac:dyDescent="0.3">
      <c r="A14" s="524">
        <v>7</v>
      </c>
      <c r="B14" s="530" t="s">
        <v>533</v>
      </c>
      <c r="C14" s="531">
        <v>0</v>
      </c>
      <c r="D14" s="532" t="s">
        <v>544</v>
      </c>
      <c r="E14" s="550">
        <v>120000</v>
      </c>
      <c r="F14" s="548">
        <f t="shared" si="1"/>
        <v>5537.6095985233032</v>
      </c>
      <c r="G14" s="551">
        <v>15</v>
      </c>
      <c r="H14" s="557">
        <f>C14+G14</f>
        <v>15</v>
      </c>
      <c r="I14" s="570"/>
      <c r="J14" s="570"/>
      <c r="K14" s="558"/>
      <c r="L14" s="558">
        <v>10</v>
      </c>
      <c r="M14" s="558"/>
      <c r="N14" s="558"/>
      <c r="O14" s="558"/>
      <c r="P14" s="558"/>
      <c r="Q14" s="558">
        <v>5</v>
      </c>
      <c r="R14" s="558"/>
      <c r="S14" s="558"/>
      <c r="T14" s="558"/>
      <c r="U14" s="560">
        <f t="shared" si="3"/>
        <v>0</v>
      </c>
      <c r="V14" s="561">
        <f t="shared" si="0"/>
        <v>0</v>
      </c>
    </row>
    <row r="15" spans="1:22" s="528" customFormat="1" ht="19.5" x14ac:dyDescent="0.3">
      <c r="A15" s="529">
        <v>8</v>
      </c>
      <c r="B15" s="530" t="s">
        <v>534</v>
      </c>
      <c r="C15" s="531">
        <v>25</v>
      </c>
      <c r="D15" s="532" t="s">
        <v>307</v>
      </c>
      <c r="E15" s="550">
        <v>145000</v>
      </c>
      <c r="F15" s="548">
        <f t="shared" si="1"/>
        <v>6691.2782648823249</v>
      </c>
      <c r="G15" s="551">
        <v>30</v>
      </c>
      <c r="H15" s="557">
        <f t="shared" si="2"/>
        <v>55</v>
      </c>
      <c r="I15" s="570"/>
      <c r="J15" s="570"/>
      <c r="K15" s="558">
        <v>5</v>
      </c>
      <c r="L15" s="558"/>
      <c r="M15" s="558">
        <v>10</v>
      </c>
      <c r="N15" s="558"/>
      <c r="O15" s="558"/>
      <c r="P15" s="558">
        <v>5</v>
      </c>
      <c r="Q15" s="558"/>
      <c r="R15" s="558"/>
      <c r="S15" s="558"/>
      <c r="T15" s="558"/>
      <c r="U15" s="560">
        <f t="shared" si="3"/>
        <v>35</v>
      </c>
      <c r="V15" s="561">
        <f t="shared" si="0"/>
        <v>234194.73927088137</v>
      </c>
    </row>
    <row r="16" spans="1:22" s="528" customFormat="1" ht="19.5" x14ac:dyDescent="0.3">
      <c r="A16" s="529">
        <v>9</v>
      </c>
      <c r="B16" s="534" t="s">
        <v>535</v>
      </c>
      <c r="C16" s="531">
        <v>14</v>
      </c>
      <c r="D16" s="532" t="s">
        <v>536</v>
      </c>
      <c r="E16" s="550">
        <v>28000</v>
      </c>
      <c r="F16" s="548">
        <f t="shared" si="1"/>
        <v>1292.1089063221043</v>
      </c>
      <c r="G16" s="551">
        <v>30</v>
      </c>
      <c r="H16" s="557">
        <f t="shared" si="2"/>
        <v>44</v>
      </c>
      <c r="I16" s="570"/>
      <c r="J16" s="570">
        <v>10</v>
      </c>
      <c r="K16" s="558"/>
      <c r="L16" s="558"/>
      <c r="M16" s="558">
        <v>29</v>
      </c>
      <c r="N16" s="571"/>
      <c r="O16" s="558"/>
      <c r="P16" s="558"/>
      <c r="Q16" s="558"/>
      <c r="R16" s="558"/>
      <c r="S16" s="558"/>
      <c r="T16" s="558"/>
      <c r="U16" s="560">
        <f t="shared" si="3"/>
        <v>5</v>
      </c>
      <c r="V16" s="561">
        <f t="shared" si="0"/>
        <v>6460.5445316105215</v>
      </c>
    </row>
    <row r="17" spans="1:22" s="528" customFormat="1" ht="19.5" x14ac:dyDescent="0.3">
      <c r="A17" s="524">
        <v>10</v>
      </c>
      <c r="B17" s="530" t="s">
        <v>677</v>
      </c>
      <c r="C17" s="531">
        <v>0</v>
      </c>
      <c r="D17" s="532" t="s">
        <v>532</v>
      </c>
      <c r="E17" s="550">
        <v>72600</v>
      </c>
      <c r="F17" s="548">
        <f t="shared" si="1"/>
        <v>3350.2538071065987</v>
      </c>
      <c r="G17" s="551">
        <v>20</v>
      </c>
      <c r="H17" s="557">
        <f t="shared" si="2"/>
        <v>20</v>
      </c>
      <c r="I17" s="570"/>
      <c r="J17" s="570">
        <v>6</v>
      </c>
      <c r="K17" s="558"/>
      <c r="L17" s="558"/>
      <c r="M17" s="558"/>
      <c r="N17" s="571">
        <v>2</v>
      </c>
      <c r="O17" s="558"/>
      <c r="P17" s="558"/>
      <c r="Q17" s="558"/>
      <c r="R17" s="558"/>
      <c r="S17" s="558"/>
      <c r="T17" s="558"/>
      <c r="U17" s="560">
        <f t="shared" si="3"/>
        <v>12</v>
      </c>
      <c r="V17" s="561">
        <f t="shared" si="0"/>
        <v>40203.045685279183</v>
      </c>
    </row>
    <row r="18" spans="1:22" s="528" customFormat="1" ht="19.5" x14ac:dyDescent="0.3">
      <c r="A18" s="529">
        <v>11</v>
      </c>
      <c r="B18" s="535" t="s">
        <v>537</v>
      </c>
      <c r="C18" s="531">
        <v>0</v>
      </c>
      <c r="D18" s="532" t="s">
        <v>307</v>
      </c>
      <c r="E18" s="550">
        <v>145000</v>
      </c>
      <c r="F18" s="548">
        <f t="shared" si="1"/>
        <v>6691.2782648823249</v>
      </c>
      <c r="G18" s="551">
        <v>25</v>
      </c>
      <c r="H18" s="557">
        <f t="shared" si="2"/>
        <v>25</v>
      </c>
      <c r="I18" s="570"/>
      <c r="J18" s="570"/>
      <c r="K18" s="558"/>
      <c r="L18" s="558"/>
      <c r="M18" s="558"/>
      <c r="N18" s="558">
        <v>1</v>
      </c>
      <c r="O18" s="558"/>
      <c r="P18" s="558"/>
      <c r="Q18" s="558"/>
      <c r="R18" s="558"/>
      <c r="S18" s="558"/>
      <c r="T18" s="558"/>
      <c r="U18" s="560">
        <f t="shared" si="3"/>
        <v>24</v>
      </c>
      <c r="V18" s="561">
        <f t="shared" si="0"/>
        <v>160590.67835717578</v>
      </c>
    </row>
    <row r="19" spans="1:22" s="528" customFormat="1" ht="19.5" x14ac:dyDescent="0.3">
      <c r="A19" s="529">
        <v>12</v>
      </c>
      <c r="B19" s="534" t="s">
        <v>538</v>
      </c>
      <c r="C19" s="531">
        <v>0</v>
      </c>
      <c r="D19" s="532" t="s">
        <v>536</v>
      </c>
      <c r="E19" s="550">
        <v>25000</v>
      </c>
      <c r="F19" s="548">
        <f t="shared" si="1"/>
        <v>1153.6686663590217</v>
      </c>
      <c r="G19" s="551">
        <v>15</v>
      </c>
      <c r="H19" s="557">
        <f t="shared" si="2"/>
        <v>15</v>
      </c>
      <c r="I19" s="570"/>
      <c r="J19" s="570"/>
      <c r="K19" s="558"/>
      <c r="L19" s="558">
        <v>15</v>
      </c>
      <c r="M19" s="558"/>
      <c r="N19" s="558"/>
      <c r="O19" s="558"/>
      <c r="P19" s="558"/>
      <c r="Q19" s="558"/>
      <c r="R19" s="558"/>
      <c r="S19" s="558"/>
      <c r="T19" s="558"/>
      <c r="U19" s="560">
        <f t="shared" si="3"/>
        <v>0</v>
      </c>
      <c r="V19" s="561">
        <f t="shared" si="0"/>
        <v>0</v>
      </c>
    </row>
    <row r="20" spans="1:22" s="528" customFormat="1" ht="19.5" x14ac:dyDescent="0.3">
      <c r="A20" s="524">
        <v>13</v>
      </c>
      <c r="B20" s="530" t="s">
        <v>539</v>
      </c>
      <c r="C20" s="531">
        <v>10</v>
      </c>
      <c r="D20" s="532" t="s">
        <v>540</v>
      </c>
      <c r="E20" s="550">
        <v>100000</v>
      </c>
      <c r="F20" s="548">
        <f t="shared" si="1"/>
        <v>4614.6746654360868</v>
      </c>
      <c r="G20" s="551">
        <v>15</v>
      </c>
      <c r="H20" s="557">
        <f t="shared" si="2"/>
        <v>25</v>
      </c>
      <c r="I20" s="570"/>
      <c r="J20" s="570"/>
      <c r="K20" s="558"/>
      <c r="L20" s="558">
        <v>15</v>
      </c>
      <c r="M20" s="558"/>
      <c r="N20" s="558"/>
      <c r="O20" s="558"/>
      <c r="P20" s="558">
        <v>4</v>
      </c>
      <c r="Q20" s="558"/>
      <c r="R20" s="558"/>
      <c r="S20" s="558"/>
      <c r="T20" s="558"/>
      <c r="U20" s="560">
        <f t="shared" si="3"/>
        <v>6</v>
      </c>
      <c r="V20" s="561">
        <f t="shared" si="0"/>
        <v>27688.047992616521</v>
      </c>
    </row>
    <row r="21" spans="1:22" s="528" customFormat="1" ht="19.5" x14ac:dyDescent="0.3">
      <c r="A21" s="529">
        <v>14</v>
      </c>
      <c r="B21" s="530" t="s">
        <v>678</v>
      </c>
      <c r="C21" s="531">
        <v>7</v>
      </c>
      <c r="D21" s="532" t="s">
        <v>532</v>
      </c>
      <c r="E21" s="550">
        <v>72600</v>
      </c>
      <c r="F21" s="548">
        <f t="shared" si="1"/>
        <v>3350.2538071065987</v>
      </c>
      <c r="G21" s="551">
        <v>15</v>
      </c>
      <c r="H21" s="557">
        <f t="shared" si="2"/>
        <v>22</v>
      </c>
      <c r="I21" s="570"/>
      <c r="J21" s="570"/>
      <c r="K21" s="558"/>
      <c r="L21" s="558"/>
      <c r="M21" s="558"/>
      <c r="N21" s="558"/>
      <c r="O21" s="558"/>
      <c r="P21" s="558">
        <v>11</v>
      </c>
      <c r="Q21" s="558"/>
      <c r="R21" s="558"/>
      <c r="S21" s="558"/>
      <c r="T21" s="558"/>
      <c r="U21" s="560">
        <f t="shared" si="3"/>
        <v>11</v>
      </c>
      <c r="V21" s="561">
        <f t="shared" si="0"/>
        <v>36852.791878172589</v>
      </c>
    </row>
    <row r="22" spans="1:22" s="528" customFormat="1" ht="19.5" x14ac:dyDescent="0.3">
      <c r="A22" s="529">
        <v>15</v>
      </c>
      <c r="B22" s="530" t="s">
        <v>541</v>
      </c>
      <c r="C22" s="531">
        <v>25</v>
      </c>
      <c r="D22" s="532" t="s">
        <v>532</v>
      </c>
      <c r="E22" s="550">
        <v>90000</v>
      </c>
      <c r="F22" s="548">
        <f t="shared" si="1"/>
        <v>4153.2071988924781</v>
      </c>
      <c r="G22" s="551">
        <v>30</v>
      </c>
      <c r="H22" s="557">
        <f t="shared" si="2"/>
        <v>55</v>
      </c>
      <c r="I22" s="570"/>
      <c r="J22" s="570"/>
      <c r="K22" s="558"/>
      <c r="L22" s="558"/>
      <c r="M22" s="558"/>
      <c r="N22" s="571"/>
      <c r="O22" s="558"/>
      <c r="P22" s="558"/>
      <c r="Q22" s="558"/>
      <c r="R22" s="558"/>
      <c r="S22" s="558"/>
      <c r="T22" s="558"/>
      <c r="U22" s="560">
        <f t="shared" si="3"/>
        <v>55</v>
      </c>
      <c r="V22" s="561">
        <f t="shared" si="0"/>
        <v>228426.3959390863</v>
      </c>
    </row>
    <row r="23" spans="1:22" s="528" customFormat="1" ht="19.5" x14ac:dyDescent="0.3">
      <c r="A23" s="524">
        <v>16</v>
      </c>
      <c r="B23" s="530" t="s">
        <v>542</v>
      </c>
      <c r="C23" s="531">
        <v>0</v>
      </c>
      <c r="D23" s="532" t="s">
        <v>543</v>
      </c>
      <c r="E23" s="550">
        <v>32500</v>
      </c>
      <c r="F23" s="548">
        <f t="shared" si="1"/>
        <v>1499.769266266728</v>
      </c>
      <c r="G23" s="551">
        <v>15</v>
      </c>
      <c r="H23" s="557">
        <f t="shared" si="2"/>
        <v>15</v>
      </c>
      <c r="I23" s="570"/>
      <c r="J23" s="570"/>
      <c r="K23" s="558"/>
      <c r="L23" s="558"/>
      <c r="M23" s="558"/>
      <c r="N23" s="558">
        <v>5</v>
      </c>
      <c r="O23" s="558"/>
      <c r="P23" s="558"/>
      <c r="Q23" s="558"/>
      <c r="R23" s="558"/>
      <c r="S23" s="558"/>
      <c r="T23" s="558"/>
      <c r="U23" s="560">
        <f t="shared" si="3"/>
        <v>10</v>
      </c>
      <c r="V23" s="561">
        <f t="shared" si="0"/>
        <v>14997.692662667279</v>
      </c>
    </row>
    <row r="24" spans="1:22" s="528" customFormat="1" ht="19.5" x14ac:dyDescent="0.3">
      <c r="A24" s="529">
        <v>17</v>
      </c>
      <c r="B24" s="530" t="s">
        <v>679</v>
      </c>
      <c r="C24" s="531">
        <v>20</v>
      </c>
      <c r="D24" s="532" t="s">
        <v>544</v>
      </c>
      <c r="E24" s="550">
        <v>120000</v>
      </c>
      <c r="F24" s="548">
        <f t="shared" si="1"/>
        <v>5537.6095985233032</v>
      </c>
      <c r="G24" s="551">
        <v>20</v>
      </c>
      <c r="H24" s="557">
        <f t="shared" si="2"/>
        <v>40</v>
      </c>
      <c r="I24" s="570"/>
      <c r="J24" s="570"/>
      <c r="K24" s="558">
        <v>3</v>
      </c>
      <c r="L24" s="558">
        <v>5</v>
      </c>
      <c r="M24" s="558"/>
      <c r="N24" s="558"/>
      <c r="O24" s="558">
        <v>5</v>
      </c>
      <c r="P24" s="558"/>
      <c r="Q24" s="558">
        <v>7</v>
      </c>
      <c r="R24" s="558"/>
      <c r="S24" s="558"/>
      <c r="T24" s="558"/>
      <c r="U24" s="560">
        <f t="shared" si="3"/>
        <v>20</v>
      </c>
      <c r="V24" s="561">
        <f t="shared" si="0"/>
        <v>110752.19197046607</v>
      </c>
    </row>
    <row r="25" spans="1:22" s="528" customFormat="1" ht="19.5" x14ac:dyDescent="0.3">
      <c r="A25" s="529">
        <v>18</v>
      </c>
      <c r="B25" s="530" t="s">
        <v>680</v>
      </c>
      <c r="C25" s="531">
        <v>0</v>
      </c>
      <c r="D25" s="532" t="s">
        <v>307</v>
      </c>
      <c r="E25" s="550">
        <v>130000</v>
      </c>
      <c r="F25" s="548">
        <f t="shared" si="1"/>
        <v>5999.0770650669119</v>
      </c>
      <c r="G25" s="551">
        <v>30</v>
      </c>
      <c r="H25" s="557">
        <f t="shared" si="2"/>
        <v>30</v>
      </c>
      <c r="I25" s="570"/>
      <c r="J25" s="570"/>
      <c r="K25" s="558"/>
      <c r="L25" s="558"/>
      <c r="M25" s="558"/>
      <c r="N25" s="558"/>
      <c r="O25" s="558"/>
      <c r="P25" s="558">
        <v>15</v>
      </c>
      <c r="Q25" s="558"/>
      <c r="R25" s="558"/>
      <c r="S25" s="558"/>
      <c r="T25" s="558"/>
      <c r="U25" s="560">
        <f t="shared" si="3"/>
        <v>15</v>
      </c>
      <c r="V25" s="561">
        <f t="shared" si="0"/>
        <v>89986.155976003676</v>
      </c>
    </row>
    <row r="26" spans="1:22" s="528" customFormat="1" ht="19.5" x14ac:dyDescent="0.3">
      <c r="A26" s="524">
        <v>19</v>
      </c>
      <c r="B26" s="534" t="s">
        <v>681</v>
      </c>
      <c r="C26" s="531">
        <v>4</v>
      </c>
      <c r="D26" s="532" t="s">
        <v>837</v>
      </c>
      <c r="E26" s="550">
        <v>45000</v>
      </c>
      <c r="F26" s="548">
        <f t="shared" si="1"/>
        <v>2076.6035994462391</v>
      </c>
      <c r="G26" s="551">
        <v>15</v>
      </c>
      <c r="H26" s="557">
        <f t="shared" si="2"/>
        <v>19</v>
      </c>
      <c r="I26" s="570"/>
      <c r="J26" s="570"/>
      <c r="K26" s="558"/>
      <c r="L26" s="558"/>
      <c r="M26" s="558"/>
      <c r="N26" s="558"/>
      <c r="O26" s="558">
        <v>7</v>
      </c>
      <c r="P26" s="558"/>
      <c r="Q26" s="558"/>
      <c r="R26" s="558"/>
      <c r="S26" s="558"/>
      <c r="T26" s="558"/>
      <c r="U26" s="560">
        <f t="shared" si="3"/>
        <v>12</v>
      </c>
      <c r="V26" s="561">
        <f t="shared" si="0"/>
        <v>24919.243193354869</v>
      </c>
    </row>
    <row r="27" spans="1:22" s="528" customFormat="1" ht="19.5" x14ac:dyDescent="0.3">
      <c r="A27" s="529">
        <v>20</v>
      </c>
      <c r="B27" s="530" t="s">
        <v>546</v>
      </c>
      <c r="C27" s="531">
        <v>20</v>
      </c>
      <c r="D27" s="532" t="s">
        <v>547</v>
      </c>
      <c r="E27" s="550">
        <v>55000</v>
      </c>
      <c r="F27" s="548">
        <f t="shared" si="1"/>
        <v>2538.0710659898477</v>
      </c>
      <c r="G27" s="551">
        <v>25</v>
      </c>
      <c r="H27" s="557">
        <f t="shared" si="2"/>
        <v>45</v>
      </c>
      <c r="I27" s="570"/>
      <c r="J27" s="570"/>
      <c r="K27" s="558"/>
      <c r="L27" s="558"/>
      <c r="M27" s="558"/>
      <c r="N27" s="558"/>
      <c r="O27" s="558"/>
      <c r="P27" s="558">
        <v>12</v>
      </c>
      <c r="Q27" s="558">
        <v>13</v>
      </c>
      <c r="R27" s="558"/>
      <c r="S27" s="558"/>
      <c r="T27" s="558"/>
      <c r="U27" s="560">
        <f t="shared" si="3"/>
        <v>20</v>
      </c>
      <c r="V27" s="561">
        <f t="shared" si="0"/>
        <v>50761.421319796951</v>
      </c>
    </row>
    <row r="28" spans="1:22" s="528" customFormat="1" ht="19.5" x14ac:dyDescent="0.3">
      <c r="A28" s="529">
        <v>21</v>
      </c>
      <c r="B28" s="530" t="s">
        <v>682</v>
      </c>
      <c r="C28" s="531">
        <v>0</v>
      </c>
      <c r="D28" s="532" t="s">
        <v>543</v>
      </c>
      <c r="E28" s="550">
        <v>35000</v>
      </c>
      <c r="F28" s="548">
        <f t="shared" si="1"/>
        <v>1615.1361329026302</v>
      </c>
      <c r="G28" s="551">
        <v>30</v>
      </c>
      <c r="H28" s="557">
        <f t="shared" si="2"/>
        <v>30</v>
      </c>
      <c r="I28" s="570"/>
      <c r="J28" s="570">
        <v>15</v>
      </c>
      <c r="K28" s="558"/>
      <c r="L28" s="558"/>
      <c r="M28" s="558"/>
      <c r="N28" s="558"/>
      <c r="O28" s="558"/>
      <c r="P28" s="558">
        <v>15</v>
      </c>
      <c r="Q28" s="558"/>
      <c r="R28" s="558"/>
      <c r="S28" s="558"/>
      <c r="T28" s="558"/>
      <c r="U28" s="560">
        <f t="shared" si="3"/>
        <v>0</v>
      </c>
      <c r="V28" s="561">
        <f t="shared" si="0"/>
        <v>0</v>
      </c>
    </row>
    <row r="29" spans="1:22" s="528" customFormat="1" ht="19.5" x14ac:dyDescent="0.3">
      <c r="A29" s="524">
        <v>22</v>
      </c>
      <c r="B29" s="530" t="s">
        <v>548</v>
      </c>
      <c r="C29" s="531">
        <v>24</v>
      </c>
      <c r="D29" s="532" t="s">
        <v>549</v>
      </c>
      <c r="E29" s="550">
        <v>125000</v>
      </c>
      <c r="F29" s="548">
        <f t="shared" si="1"/>
        <v>5768.3433317951076</v>
      </c>
      <c r="G29" s="551">
        <v>30</v>
      </c>
      <c r="H29" s="557">
        <f t="shared" si="2"/>
        <v>54</v>
      </c>
      <c r="I29" s="570"/>
      <c r="J29" s="570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60">
        <f t="shared" si="3"/>
        <v>54</v>
      </c>
      <c r="V29" s="561">
        <f t="shared" si="0"/>
        <v>311490.53991693578</v>
      </c>
    </row>
    <row r="30" spans="1:22" s="528" customFormat="1" ht="19.5" x14ac:dyDescent="0.3">
      <c r="A30" s="529">
        <v>23</v>
      </c>
      <c r="B30" s="530" t="s">
        <v>550</v>
      </c>
      <c r="C30" s="531">
        <v>0</v>
      </c>
      <c r="D30" s="532" t="s">
        <v>545</v>
      </c>
      <c r="E30" s="550">
        <v>40000</v>
      </c>
      <c r="F30" s="548">
        <f t="shared" si="1"/>
        <v>1845.8698661744345</v>
      </c>
      <c r="G30" s="551">
        <v>20</v>
      </c>
      <c r="H30" s="557">
        <f t="shared" si="2"/>
        <v>20</v>
      </c>
      <c r="I30" s="570"/>
      <c r="J30" s="570"/>
      <c r="K30" s="558"/>
      <c r="L30" s="558"/>
      <c r="M30" s="558"/>
      <c r="N30" s="558"/>
      <c r="O30" s="558">
        <v>1</v>
      </c>
      <c r="P30" s="558"/>
      <c r="Q30" s="558"/>
      <c r="R30" s="558"/>
      <c r="S30" s="558"/>
      <c r="T30" s="558"/>
      <c r="U30" s="560">
        <f t="shared" si="3"/>
        <v>19</v>
      </c>
      <c r="V30" s="561">
        <f t="shared" si="0"/>
        <v>35071.527457314252</v>
      </c>
    </row>
    <row r="31" spans="1:22" s="528" customFormat="1" ht="19.5" x14ac:dyDescent="0.3">
      <c r="A31" s="529">
        <v>24</v>
      </c>
      <c r="B31" s="530" t="s">
        <v>551</v>
      </c>
      <c r="C31" s="531">
        <v>18</v>
      </c>
      <c r="D31" s="532" t="s">
        <v>552</v>
      </c>
      <c r="E31" s="550">
        <v>115000</v>
      </c>
      <c r="F31" s="548">
        <f t="shared" si="1"/>
        <v>5306.8758652514989</v>
      </c>
      <c r="G31" s="551">
        <v>30</v>
      </c>
      <c r="H31" s="557">
        <f t="shared" si="2"/>
        <v>48</v>
      </c>
      <c r="I31" s="570"/>
      <c r="J31" s="570">
        <v>8</v>
      </c>
      <c r="K31" s="558"/>
      <c r="L31" s="558"/>
      <c r="M31" s="558"/>
      <c r="N31" s="558"/>
      <c r="O31" s="558"/>
      <c r="P31" s="558">
        <v>15</v>
      </c>
      <c r="Q31" s="558"/>
      <c r="R31" s="558"/>
      <c r="S31" s="558"/>
      <c r="T31" s="558"/>
      <c r="U31" s="560">
        <f t="shared" si="3"/>
        <v>25</v>
      </c>
      <c r="V31" s="561">
        <f t="shared" si="0"/>
        <v>132671.89663128747</v>
      </c>
    </row>
    <row r="32" spans="1:22" s="528" customFormat="1" ht="19.5" x14ac:dyDescent="0.3">
      <c r="A32" s="524">
        <v>25</v>
      </c>
      <c r="B32" s="530" t="s">
        <v>553</v>
      </c>
      <c r="C32" s="531">
        <v>15</v>
      </c>
      <c r="D32" s="532" t="s">
        <v>552</v>
      </c>
      <c r="E32" s="550">
        <v>105000</v>
      </c>
      <c r="F32" s="548">
        <f t="shared" si="1"/>
        <v>4845.4083987078911</v>
      </c>
      <c r="G32" s="551">
        <v>25</v>
      </c>
      <c r="H32" s="557">
        <f t="shared" si="2"/>
        <v>40</v>
      </c>
      <c r="I32" s="570">
        <v>15</v>
      </c>
      <c r="J32" s="570"/>
      <c r="K32" s="558"/>
      <c r="L32" s="558">
        <v>10</v>
      </c>
      <c r="M32" s="558"/>
      <c r="N32" s="558"/>
      <c r="O32" s="558"/>
      <c r="P32" s="558"/>
      <c r="Q32" s="558"/>
      <c r="R32" s="558"/>
      <c r="S32" s="558"/>
      <c r="T32" s="558"/>
      <c r="U32" s="560">
        <f t="shared" si="3"/>
        <v>15</v>
      </c>
      <c r="V32" s="561">
        <f t="shared" si="0"/>
        <v>72681.125980618366</v>
      </c>
    </row>
    <row r="33" spans="1:22" s="528" customFormat="1" ht="19.5" x14ac:dyDescent="0.3">
      <c r="A33" s="529">
        <v>26</v>
      </c>
      <c r="B33" s="530" t="s">
        <v>683</v>
      </c>
      <c r="C33" s="531">
        <v>10</v>
      </c>
      <c r="D33" s="532" t="s">
        <v>536</v>
      </c>
      <c r="E33" s="550">
        <v>28000</v>
      </c>
      <c r="F33" s="548">
        <f t="shared" si="1"/>
        <v>1292.1089063221043</v>
      </c>
      <c r="G33" s="551">
        <v>30</v>
      </c>
      <c r="H33" s="557">
        <f t="shared" si="2"/>
        <v>40</v>
      </c>
      <c r="I33" s="570"/>
      <c r="J33" s="570"/>
      <c r="K33" s="558"/>
      <c r="L33" s="558">
        <v>1</v>
      </c>
      <c r="M33" s="558">
        <v>1</v>
      </c>
      <c r="N33" s="558"/>
      <c r="O33" s="558">
        <v>15</v>
      </c>
      <c r="P33" s="558"/>
      <c r="Q33" s="558"/>
      <c r="R33" s="558"/>
      <c r="S33" s="558"/>
      <c r="T33" s="558"/>
      <c r="U33" s="560">
        <f t="shared" si="3"/>
        <v>23</v>
      </c>
      <c r="V33" s="561">
        <f t="shared" si="0"/>
        <v>29718.504845408399</v>
      </c>
    </row>
    <row r="34" spans="1:22" s="528" customFormat="1" ht="19.5" x14ac:dyDescent="0.3">
      <c r="A34" s="529">
        <v>27</v>
      </c>
      <c r="B34" s="534" t="s">
        <v>554</v>
      </c>
      <c r="C34" s="531">
        <v>12</v>
      </c>
      <c r="D34" s="532" t="s">
        <v>528</v>
      </c>
      <c r="E34" s="550">
        <v>145000</v>
      </c>
      <c r="F34" s="548">
        <f t="shared" si="1"/>
        <v>6691.2782648823249</v>
      </c>
      <c r="G34" s="551">
        <v>30</v>
      </c>
      <c r="H34" s="557">
        <f t="shared" si="2"/>
        <v>42</v>
      </c>
      <c r="I34" s="570"/>
      <c r="J34" s="570">
        <v>13</v>
      </c>
      <c r="K34" s="558"/>
      <c r="L34" s="558"/>
      <c r="M34" s="558">
        <v>11</v>
      </c>
      <c r="N34" s="558"/>
      <c r="O34" s="558"/>
      <c r="P34" s="558"/>
      <c r="Q34" s="558"/>
      <c r="R34" s="558"/>
      <c r="S34" s="558"/>
      <c r="T34" s="558"/>
      <c r="U34" s="560">
        <f t="shared" si="3"/>
        <v>18</v>
      </c>
      <c r="V34" s="561">
        <f t="shared" si="0"/>
        <v>120443.00876788185</v>
      </c>
    </row>
    <row r="35" spans="1:22" s="528" customFormat="1" ht="19.5" x14ac:dyDescent="0.3">
      <c r="A35" s="524">
        <v>28</v>
      </c>
      <c r="B35" s="530" t="s">
        <v>555</v>
      </c>
      <c r="C35" s="531">
        <v>3</v>
      </c>
      <c r="D35" s="532" t="s">
        <v>307</v>
      </c>
      <c r="E35" s="550">
        <v>145000</v>
      </c>
      <c r="F35" s="548">
        <f t="shared" si="1"/>
        <v>6691.2782648823249</v>
      </c>
      <c r="G35" s="551">
        <v>20</v>
      </c>
      <c r="H35" s="557">
        <f t="shared" si="2"/>
        <v>23</v>
      </c>
      <c r="I35" s="570">
        <v>3</v>
      </c>
      <c r="J35" s="570"/>
      <c r="K35" s="558"/>
      <c r="L35" s="558">
        <v>4</v>
      </c>
      <c r="M35" s="558">
        <v>4</v>
      </c>
      <c r="N35" s="558"/>
      <c r="O35" s="558"/>
      <c r="P35" s="558">
        <v>10</v>
      </c>
      <c r="Q35" s="558"/>
      <c r="R35" s="558"/>
      <c r="S35" s="558"/>
      <c r="T35" s="558"/>
      <c r="U35" s="560">
        <f t="shared" si="3"/>
        <v>2</v>
      </c>
      <c r="V35" s="561">
        <f t="shared" si="0"/>
        <v>13382.55652976465</v>
      </c>
    </row>
    <row r="36" spans="1:22" s="528" customFormat="1" ht="19.5" x14ac:dyDescent="0.3">
      <c r="A36" s="529">
        <v>29</v>
      </c>
      <c r="B36" s="530" t="s">
        <v>556</v>
      </c>
      <c r="C36" s="531">
        <v>15</v>
      </c>
      <c r="D36" s="532" t="s">
        <v>543</v>
      </c>
      <c r="E36" s="550">
        <v>36000</v>
      </c>
      <c r="F36" s="548">
        <f t="shared" si="1"/>
        <v>1661.282879556991</v>
      </c>
      <c r="G36" s="551">
        <v>15</v>
      </c>
      <c r="H36" s="557">
        <f t="shared" si="2"/>
        <v>30</v>
      </c>
      <c r="I36" s="570">
        <v>5</v>
      </c>
      <c r="J36" s="570"/>
      <c r="K36" s="558"/>
      <c r="L36" s="558"/>
      <c r="M36" s="558"/>
      <c r="N36" s="571"/>
      <c r="O36" s="558"/>
      <c r="P36" s="558"/>
      <c r="Q36" s="558">
        <v>15</v>
      </c>
      <c r="R36" s="558"/>
      <c r="S36" s="558"/>
      <c r="T36" s="558"/>
      <c r="U36" s="560">
        <f t="shared" si="3"/>
        <v>10</v>
      </c>
      <c r="V36" s="561">
        <f t="shared" si="0"/>
        <v>16612.828795569909</v>
      </c>
    </row>
    <row r="37" spans="1:22" s="528" customFormat="1" ht="19.5" x14ac:dyDescent="0.3">
      <c r="A37" s="529">
        <v>30</v>
      </c>
      <c r="B37" s="535" t="s">
        <v>684</v>
      </c>
      <c r="C37" s="531">
        <v>4</v>
      </c>
      <c r="D37" s="532" t="s">
        <v>557</v>
      </c>
      <c r="E37" s="550">
        <v>55000</v>
      </c>
      <c r="F37" s="548">
        <f t="shared" si="1"/>
        <v>2538.0710659898477</v>
      </c>
      <c r="G37" s="551">
        <v>30</v>
      </c>
      <c r="H37" s="557">
        <f t="shared" si="2"/>
        <v>34</v>
      </c>
      <c r="I37" s="570"/>
      <c r="J37" s="570">
        <v>5</v>
      </c>
      <c r="K37" s="558"/>
      <c r="L37" s="558"/>
      <c r="M37" s="558"/>
      <c r="N37" s="571">
        <v>15</v>
      </c>
      <c r="O37" s="558"/>
      <c r="P37" s="558"/>
      <c r="Q37" s="558"/>
      <c r="R37" s="558"/>
      <c r="S37" s="558"/>
      <c r="T37" s="558"/>
      <c r="U37" s="560">
        <f t="shared" si="3"/>
        <v>14</v>
      </c>
      <c r="V37" s="561">
        <f t="shared" si="0"/>
        <v>35532.99492385787</v>
      </c>
    </row>
    <row r="38" spans="1:22" s="528" customFormat="1" ht="19.5" x14ac:dyDescent="0.3">
      <c r="A38" s="524">
        <v>31</v>
      </c>
      <c r="B38" s="530" t="s">
        <v>685</v>
      </c>
      <c r="C38" s="531">
        <v>3</v>
      </c>
      <c r="D38" s="532" t="s">
        <v>544</v>
      </c>
      <c r="E38" s="550">
        <v>125000</v>
      </c>
      <c r="F38" s="548">
        <f t="shared" si="1"/>
        <v>5768.3433317951076</v>
      </c>
      <c r="G38" s="551">
        <v>15</v>
      </c>
      <c r="H38" s="557">
        <f t="shared" si="2"/>
        <v>18</v>
      </c>
      <c r="I38" s="570"/>
      <c r="J38" s="570"/>
      <c r="K38" s="558"/>
      <c r="L38" s="558"/>
      <c r="M38" s="558"/>
      <c r="N38" s="558">
        <v>2</v>
      </c>
      <c r="O38" s="558">
        <v>2</v>
      </c>
      <c r="P38" s="558"/>
      <c r="Q38" s="558"/>
      <c r="R38" s="558"/>
      <c r="S38" s="558"/>
      <c r="T38" s="558"/>
      <c r="U38" s="560">
        <f t="shared" si="3"/>
        <v>14</v>
      </c>
      <c r="V38" s="561">
        <f t="shared" si="0"/>
        <v>80756.80664513151</v>
      </c>
    </row>
    <row r="39" spans="1:22" s="528" customFormat="1" ht="19.5" x14ac:dyDescent="0.3">
      <c r="A39" s="529">
        <v>32</v>
      </c>
      <c r="B39" s="530" t="s">
        <v>558</v>
      </c>
      <c r="C39" s="531">
        <v>14</v>
      </c>
      <c r="D39" s="532" t="s">
        <v>559</v>
      </c>
      <c r="E39" s="550">
        <v>24200</v>
      </c>
      <c r="F39" s="548">
        <f t="shared" si="1"/>
        <v>1116.7512690355329</v>
      </c>
      <c r="G39" s="551">
        <v>15</v>
      </c>
      <c r="H39" s="557">
        <f t="shared" si="2"/>
        <v>29</v>
      </c>
      <c r="I39" s="570">
        <v>29</v>
      </c>
      <c r="J39" s="570"/>
      <c r="K39" s="558"/>
      <c r="L39" s="558"/>
      <c r="M39" s="558"/>
      <c r="N39" s="558"/>
      <c r="O39" s="558"/>
      <c r="P39" s="558"/>
      <c r="Q39" s="558"/>
      <c r="R39" s="558"/>
      <c r="S39" s="558"/>
      <c r="T39" s="558"/>
      <c r="U39" s="560">
        <f t="shared" si="3"/>
        <v>0</v>
      </c>
      <c r="V39" s="561">
        <f t="shared" si="0"/>
        <v>0</v>
      </c>
    </row>
    <row r="40" spans="1:22" s="528" customFormat="1" ht="19.5" x14ac:dyDescent="0.3">
      <c r="A40" s="529">
        <v>33</v>
      </c>
      <c r="B40" s="534" t="s">
        <v>560</v>
      </c>
      <c r="C40" s="531">
        <v>2</v>
      </c>
      <c r="D40" s="532" t="s">
        <v>561</v>
      </c>
      <c r="E40" s="550">
        <v>23000</v>
      </c>
      <c r="F40" s="548">
        <f t="shared" si="1"/>
        <v>1061.3751730503</v>
      </c>
      <c r="G40" s="551">
        <v>15</v>
      </c>
      <c r="H40" s="557">
        <f t="shared" si="2"/>
        <v>17</v>
      </c>
      <c r="I40" s="570"/>
      <c r="J40" s="570"/>
      <c r="K40" s="558">
        <v>1</v>
      </c>
      <c r="L40" s="558"/>
      <c r="M40" s="558">
        <v>6</v>
      </c>
      <c r="N40" s="571"/>
      <c r="O40" s="558"/>
      <c r="P40" s="558"/>
      <c r="Q40" s="558"/>
      <c r="R40" s="558"/>
      <c r="S40" s="558"/>
      <c r="T40" s="558"/>
      <c r="U40" s="560">
        <f t="shared" si="3"/>
        <v>10</v>
      </c>
      <c r="V40" s="561">
        <f t="shared" si="0"/>
        <v>10613.751730503</v>
      </c>
    </row>
    <row r="41" spans="1:22" s="528" customFormat="1" ht="19.5" x14ac:dyDescent="0.3">
      <c r="A41" s="524">
        <v>34</v>
      </c>
      <c r="B41" s="535" t="s">
        <v>686</v>
      </c>
      <c r="C41" s="531">
        <v>5</v>
      </c>
      <c r="D41" s="536" t="s">
        <v>562</v>
      </c>
      <c r="E41" s="550">
        <v>72600</v>
      </c>
      <c r="F41" s="548">
        <f t="shared" si="1"/>
        <v>3350.2538071065987</v>
      </c>
      <c r="G41" s="551">
        <v>15</v>
      </c>
      <c r="H41" s="557">
        <f t="shared" si="2"/>
        <v>20</v>
      </c>
      <c r="I41" s="570"/>
      <c r="J41" s="570"/>
      <c r="K41" s="558"/>
      <c r="L41" s="558"/>
      <c r="M41" s="558"/>
      <c r="N41" s="558">
        <v>20</v>
      </c>
      <c r="O41" s="558"/>
      <c r="P41" s="558"/>
      <c r="Q41" s="558"/>
      <c r="R41" s="558"/>
      <c r="S41" s="558"/>
      <c r="T41" s="558"/>
      <c r="U41" s="560">
        <f t="shared" si="3"/>
        <v>0</v>
      </c>
      <c r="V41" s="561">
        <f t="shared" si="0"/>
        <v>0</v>
      </c>
    </row>
    <row r="42" spans="1:22" s="528" customFormat="1" ht="19.5" x14ac:dyDescent="0.3">
      <c r="A42" s="529">
        <v>35</v>
      </c>
      <c r="B42" s="534" t="s">
        <v>838</v>
      </c>
      <c r="C42" s="531">
        <v>0</v>
      </c>
      <c r="D42" s="536" t="s">
        <v>561</v>
      </c>
      <c r="E42" s="550">
        <v>24000</v>
      </c>
      <c r="F42" s="548">
        <f t="shared" si="1"/>
        <v>1107.5219197046608</v>
      </c>
      <c r="G42" s="551">
        <v>15</v>
      </c>
      <c r="H42" s="557">
        <f t="shared" si="2"/>
        <v>15</v>
      </c>
      <c r="I42" s="570"/>
      <c r="J42" s="570"/>
      <c r="K42" s="558"/>
      <c r="L42" s="558"/>
      <c r="M42" s="558"/>
      <c r="N42" s="558"/>
      <c r="O42" s="558"/>
      <c r="P42" s="558"/>
      <c r="Q42" s="558"/>
      <c r="R42" s="558"/>
      <c r="S42" s="558"/>
      <c r="T42" s="558"/>
      <c r="U42" s="560">
        <f t="shared" si="3"/>
        <v>15</v>
      </c>
      <c r="V42" s="561">
        <f t="shared" si="0"/>
        <v>16612.828795569912</v>
      </c>
    </row>
    <row r="43" spans="1:22" s="528" customFormat="1" ht="19.5" x14ac:dyDescent="0.3">
      <c r="A43" s="529">
        <v>36</v>
      </c>
      <c r="B43" s="530" t="s">
        <v>687</v>
      </c>
      <c r="C43" s="531">
        <v>0</v>
      </c>
      <c r="D43" s="532" t="s">
        <v>839</v>
      </c>
      <c r="E43" s="550">
        <v>30000</v>
      </c>
      <c r="F43" s="548">
        <f t="shared" si="1"/>
        <v>1384.4023996308258</v>
      </c>
      <c r="G43" s="551">
        <v>30</v>
      </c>
      <c r="H43" s="557">
        <f t="shared" si="2"/>
        <v>30</v>
      </c>
      <c r="I43" s="570"/>
      <c r="J43" s="570"/>
      <c r="K43" s="558"/>
      <c r="L43" s="558"/>
      <c r="M43" s="558"/>
      <c r="N43" s="558">
        <v>10</v>
      </c>
      <c r="O43" s="558"/>
      <c r="P43" s="558"/>
      <c r="Q43" s="558"/>
      <c r="R43" s="558"/>
      <c r="S43" s="558"/>
      <c r="T43" s="558"/>
      <c r="U43" s="560">
        <f t="shared" si="3"/>
        <v>20</v>
      </c>
      <c r="V43" s="561">
        <f t="shared" si="0"/>
        <v>27688.047992616517</v>
      </c>
    </row>
    <row r="44" spans="1:22" s="528" customFormat="1" ht="19.5" x14ac:dyDescent="0.3">
      <c r="A44" s="524">
        <v>37</v>
      </c>
      <c r="B44" s="530" t="s">
        <v>688</v>
      </c>
      <c r="C44" s="531">
        <v>15</v>
      </c>
      <c r="D44" s="532" t="s">
        <v>543</v>
      </c>
      <c r="E44" s="550">
        <v>32500</v>
      </c>
      <c r="F44" s="548">
        <f t="shared" si="1"/>
        <v>1499.769266266728</v>
      </c>
      <c r="G44" s="551">
        <v>15</v>
      </c>
      <c r="H44" s="557">
        <f t="shared" si="2"/>
        <v>30</v>
      </c>
      <c r="I44" s="570"/>
      <c r="J44" s="570">
        <v>15</v>
      </c>
      <c r="K44" s="558"/>
      <c r="L44" s="558"/>
      <c r="M44" s="558"/>
      <c r="N44" s="571"/>
      <c r="O44" s="558"/>
      <c r="P44" s="558"/>
      <c r="Q44" s="558"/>
      <c r="R44" s="558"/>
      <c r="S44" s="558"/>
      <c r="T44" s="558"/>
      <c r="U44" s="560">
        <f t="shared" si="3"/>
        <v>15</v>
      </c>
      <c r="V44" s="561">
        <f t="shared" si="0"/>
        <v>22496.538994000919</v>
      </c>
    </row>
    <row r="45" spans="1:22" s="528" customFormat="1" ht="19.5" x14ac:dyDescent="0.3">
      <c r="A45" s="529">
        <v>38</v>
      </c>
      <c r="B45" s="530" t="s">
        <v>689</v>
      </c>
      <c r="C45" s="531">
        <v>15</v>
      </c>
      <c r="D45" s="532" t="s">
        <v>563</v>
      </c>
      <c r="E45" s="550">
        <v>650000</v>
      </c>
      <c r="F45" s="548">
        <f t="shared" si="1"/>
        <v>29995.385325334562</v>
      </c>
      <c r="G45" s="551">
        <v>20</v>
      </c>
      <c r="H45" s="557">
        <f t="shared" si="2"/>
        <v>35</v>
      </c>
      <c r="I45" s="570"/>
      <c r="J45" s="570"/>
      <c r="K45" s="558">
        <v>10</v>
      </c>
      <c r="L45" s="558">
        <v>10</v>
      </c>
      <c r="M45" s="558"/>
      <c r="N45" s="558"/>
      <c r="O45" s="558"/>
      <c r="P45" s="558"/>
      <c r="Q45" s="558"/>
      <c r="R45" s="558"/>
      <c r="S45" s="558"/>
      <c r="T45" s="558"/>
      <c r="U45" s="560">
        <f t="shared" si="3"/>
        <v>15</v>
      </c>
      <c r="V45" s="561">
        <f t="shared" si="0"/>
        <v>449930.77988001844</v>
      </c>
    </row>
    <row r="46" spans="1:22" s="528" customFormat="1" ht="19.5" x14ac:dyDescent="0.3">
      <c r="A46" s="529">
        <v>39</v>
      </c>
      <c r="B46" s="530" t="s">
        <v>564</v>
      </c>
      <c r="C46" s="531">
        <v>0</v>
      </c>
      <c r="D46" s="532" t="s">
        <v>565</v>
      </c>
      <c r="E46" s="550">
        <v>40000</v>
      </c>
      <c r="F46" s="548">
        <f t="shared" si="1"/>
        <v>1845.8698661744345</v>
      </c>
      <c r="G46" s="551">
        <v>20</v>
      </c>
      <c r="H46" s="557">
        <f t="shared" si="2"/>
        <v>20</v>
      </c>
      <c r="I46" s="570"/>
      <c r="J46" s="570"/>
      <c r="K46" s="558"/>
      <c r="L46" s="558">
        <v>16</v>
      </c>
      <c r="M46" s="558"/>
      <c r="N46" s="558">
        <v>2</v>
      </c>
      <c r="O46" s="558"/>
      <c r="P46" s="558"/>
      <c r="Q46" s="558"/>
      <c r="R46" s="558"/>
      <c r="S46" s="558"/>
      <c r="T46" s="558"/>
      <c r="U46" s="560">
        <f t="shared" si="3"/>
        <v>2</v>
      </c>
      <c r="V46" s="561">
        <f t="shared" si="0"/>
        <v>3691.739732348869</v>
      </c>
    </row>
    <row r="47" spans="1:22" s="528" customFormat="1" ht="19.5" x14ac:dyDescent="0.3">
      <c r="A47" s="524">
        <v>40</v>
      </c>
      <c r="B47" s="535" t="s">
        <v>690</v>
      </c>
      <c r="C47" s="531">
        <v>7</v>
      </c>
      <c r="D47" s="532" t="s">
        <v>566</v>
      </c>
      <c r="E47" s="550">
        <v>420000</v>
      </c>
      <c r="F47" s="548">
        <f t="shared" si="1"/>
        <v>19381.633594831565</v>
      </c>
      <c r="G47" s="551">
        <v>20</v>
      </c>
      <c r="H47" s="557">
        <f t="shared" si="2"/>
        <v>27</v>
      </c>
      <c r="I47" s="570">
        <v>3</v>
      </c>
      <c r="J47" s="570"/>
      <c r="K47" s="558">
        <v>5</v>
      </c>
      <c r="L47" s="558"/>
      <c r="M47" s="558"/>
      <c r="N47" s="571"/>
      <c r="O47" s="558"/>
      <c r="P47" s="558"/>
      <c r="Q47" s="558"/>
      <c r="R47" s="558"/>
      <c r="S47" s="558"/>
      <c r="T47" s="558"/>
      <c r="U47" s="560">
        <f t="shared" si="3"/>
        <v>19</v>
      </c>
      <c r="V47" s="561">
        <f t="shared" si="0"/>
        <v>368251.03830179974</v>
      </c>
    </row>
    <row r="48" spans="1:22" s="528" customFormat="1" ht="19.5" x14ac:dyDescent="0.3">
      <c r="A48" s="529">
        <v>41</v>
      </c>
      <c r="B48" s="534" t="s">
        <v>691</v>
      </c>
      <c r="C48" s="531">
        <v>3</v>
      </c>
      <c r="D48" s="532" t="s">
        <v>543</v>
      </c>
      <c r="E48" s="550">
        <v>32500</v>
      </c>
      <c r="F48" s="548">
        <f t="shared" si="1"/>
        <v>1499.769266266728</v>
      </c>
      <c r="G48" s="551">
        <v>15</v>
      </c>
      <c r="H48" s="557">
        <f t="shared" si="2"/>
        <v>18</v>
      </c>
      <c r="I48" s="570"/>
      <c r="J48" s="570"/>
      <c r="K48" s="558"/>
      <c r="L48" s="558">
        <v>3</v>
      </c>
      <c r="M48" s="558"/>
      <c r="N48" s="558"/>
      <c r="O48" s="558"/>
      <c r="P48" s="558"/>
      <c r="Q48" s="558"/>
      <c r="R48" s="558"/>
      <c r="S48" s="558"/>
      <c r="T48" s="558"/>
      <c r="U48" s="560">
        <f t="shared" si="3"/>
        <v>15</v>
      </c>
      <c r="V48" s="561">
        <f t="shared" si="0"/>
        <v>22496.538994000919</v>
      </c>
    </row>
    <row r="49" spans="1:22" s="528" customFormat="1" ht="19.5" x14ac:dyDescent="0.3">
      <c r="A49" s="529">
        <v>42</v>
      </c>
      <c r="B49" s="534" t="s">
        <v>692</v>
      </c>
      <c r="C49" s="531">
        <v>3</v>
      </c>
      <c r="D49" s="532" t="s">
        <v>567</v>
      </c>
      <c r="E49" s="550">
        <v>100000</v>
      </c>
      <c r="F49" s="548">
        <f t="shared" si="1"/>
        <v>4614.6746654360868</v>
      </c>
      <c r="G49" s="551">
        <v>30</v>
      </c>
      <c r="H49" s="557">
        <f t="shared" si="2"/>
        <v>33</v>
      </c>
      <c r="I49" s="570"/>
      <c r="J49" s="570"/>
      <c r="K49" s="558"/>
      <c r="L49" s="558">
        <v>8</v>
      </c>
      <c r="M49" s="558"/>
      <c r="N49" s="558">
        <v>9</v>
      </c>
      <c r="O49" s="558"/>
      <c r="P49" s="558"/>
      <c r="Q49" s="558"/>
      <c r="R49" s="558"/>
      <c r="S49" s="558"/>
      <c r="T49" s="558"/>
      <c r="U49" s="560">
        <f t="shared" si="3"/>
        <v>16</v>
      </c>
      <c r="V49" s="561">
        <f t="shared" si="0"/>
        <v>73834.794646977389</v>
      </c>
    </row>
    <row r="50" spans="1:22" s="528" customFormat="1" ht="19.5" x14ac:dyDescent="0.3">
      <c r="A50" s="524">
        <v>43</v>
      </c>
      <c r="B50" s="534" t="s">
        <v>568</v>
      </c>
      <c r="C50" s="531">
        <v>3</v>
      </c>
      <c r="D50" s="532" t="s">
        <v>557</v>
      </c>
      <c r="E50" s="550">
        <v>55000</v>
      </c>
      <c r="F50" s="548">
        <f t="shared" si="1"/>
        <v>2538.0710659898477</v>
      </c>
      <c r="G50" s="551">
        <v>30</v>
      </c>
      <c r="H50" s="557">
        <f t="shared" si="2"/>
        <v>33</v>
      </c>
      <c r="I50" s="570"/>
      <c r="J50" s="570"/>
      <c r="K50" s="558"/>
      <c r="L50" s="558">
        <v>9</v>
      </c>
      <c r="M50" s="558"/>
      <c r="N50" s="571"/>
      <c r="O50" s="558"/>
      <c r="P50" s="558"/>
      <c r="Q50" s="558"/>
      <c r="R50" s="558"/>
      <c r="S50" s="558"/>
      <c r="T50" s="558"/>
      <c r="U50" s="560">
        <f t="shared" si="3"/>
        <v>24</v>
      </c>
      <c r="V50" s="561">
        <f t="shared" si="0"/>
        <v>60913.705583756346</v>
      </c>
    </row>
    <row r="51" spans="1:22" s="528" customFormat="1" ht="19.5" x14ac:dyDescent="0.3">
      <c r="A51" s="529">
        <v>44</v>
      </c>
      <c r="B51" s="535" t="s">
        <v>569</v>
      </c>
      <c r="C51" s="531">
        <v>28</v>
      </c>
      <c r="D51" s="532" t="s">
        <v>570</v>
      </c>
      <c r="E51" s="550">
        <v>95000</v>
      </c>
      <c r="F51" s="548">
        <f t="shared" si="1"/>
        <v>4383.9409321642825</v>
      </c>
      <c r="G51" s="551">
        <v>30</v>
      </c>
      <c r="H51" s="557">
        <f t="shared" si="2"/>
        <v>58</v>
      </c>
      <c r="I51" s="570">
        <v>20</v>
      </c>
      <c r="J51" s="570"/>
      <c r="K51" s="558"/>
      <c r="L51" s="558"/>
      <c r="M51" s="558"/>
      <c r="N51" s="558"/>
      <c r="O51" s="558"/>
      <c r="P51" s="558"/>
      <c r="Q51" s="558"/>
      <c r="R51" s="558"/>
      <c r="S51" s="558"/>
      <c r="T51" s="558"/>
      <c r="U51" s="560">
        <f t="shared" si="3"/>
        <v>38</v>
      </c>
      <c r="V51" s="561">
        <f t="shared" si="0"/>
        <v>166589.75542224274</v>
      </c>
    </row>
    <row r="52" spans="1:22" s="528" customFormat="1" ht="19.5" x14ac:dyDescent="0.3">
      <c r="A52" s="529">
        <v>45</v>
      </c>
      <c r="B52" s="530" t="s">
        <v>693</v>
      </c>
      <c r="C52" s="531">
        <v>15</v>
      </c>
      <c r="D52" s="532" t="s">
        <v>694</v>
      </c>
      <c r="E52" s="550">
        <v>55000</v>
      </c>
      <c r="F52" s="548">
        <f t="shared" si="1"/>
        <v>2538.0710659898477</v>
      </c>
      <c r="G52" s="551">
        <v>25</v>
      </c>
      <c r="H52" s="557">
        <f t="shared" si="2"/>
        <v>40</v>
      </c>
      <c r="I52" s="570">
        <v>6</v>
      </c>
      <c r="J52" s="570"/>
      <c r="K52" s="558"/>
      <c r="L52" s="558"/>
      <c r="M52" s="558"/>
      <c r="N52" s="571">
        <v>3</v>
      </c>
      <c r="O52" s="558"/>
      <c r="P52" s="558"/>
      <c r="Q52" s="558"/>
      <c r="R52" s="558"/>
      <c r="S52" s="558"/>
      <c r="T52" s="558"/>
      <c r="U52" s="560">
        <f t="shared" si="3"/>
        <v>31</v>
      </c>
      <c r="V52" s="561">
        <f t="shared" si="0"/>
        <v>78680.203045685281</v>
      </c>
    </row>
    <row r="53" spans="1:22" s="528" customFormat="1" ht="19.5" x14ac:dyDescent="0.3">
      <c r="A53" s="524">
        <v>46</v>
      </c>
      <c r="B53" s="534" t="s">
        <v>571</v>
      </c>
      <c r="C53" s="531">
        <v>10</v>
      </c>
      <c r="D53" s="532" t="s">
        <v>604</v>
      </c>
      <c r="E53" s="550">
        <v>220000</v>
      </c>
      <c r="F53" s="548">
        <f t="shared" si="1"/>
        <v>10152.284263959391</v>
      </c>
      <c r="G53" s="551">
        <v>20</v>
      </c>
      <c r="H53" s="557">
        <f t="shared" si="2"/>
        <v>30</v>
      </c>
      <c r="I53" s="570"/>
      <c r="J53" s="570"/>
      <c r="K53" s="558"/>
      <c r="L53" s="558"/>
      <c r="M53" s="558"/>
      <c r="N53" s="558"/>
      <c r="O53" s="558"/>
      <c r="P53" s="558">
        <v>15</v>
      </c>
      <c r="Q53" s="558"/>
      <c r="R53" s="558"/>
      <c r="S53" s="558"/>
      <c r="T53" s="558"/>
      <c r="U53" s="560">
        <f t="shared" si="3"/>
        <v>15</v>
      </c>
      <c r="V53" s="561">
        <f t="shared" si="0"/>
        <v>152284.26395939087</v>
      </c>
    </row>
    <row r="54" spans="1:22" s="528" customFormat="1" ht="19.5" x14ac:dyDescent="0.3">
      <c r="A54" s="529">
        <v>47</v>
      </c>
      <c r="B54" s="535" t="s">
        <v>572</v>
      </c>
      <c r="C54" s="531">
        <v>0</v>
      </c>
      <c r="D54" s="532" t="s">
        <v>532</v>
      </c>
      <c r="E54" s="550">
        <v>72600</v>
      </c>
      <c r="F54" s="548">
        <f t="shared" si="1"/>
        <v>3350.2538071065987</v>
      </c>
      <c r="G54" s="551">
        <v>15</v>
      </c>
      <c r="H54" s="557">
        <f t="shared" si="2"/>
        <v>15</v>
      </c>
      <c r="I54" s="570"/>
      <c r="J54" s="570">
        <v>3</v>
      </c>
      <c r="K54" s="558"/>
      <c r="L54" s="558"/>
      <c r="M54" s="558"/>
      <c r="N54" s="571">
        <v>4</v>
      </c>
      <c r="O54" s="558"/>
      <c r="P54" s="558"/>
      <c r="Q54" s="558"/>
      <c r="R54" s="558"/>
      <c r="S54" s="558"/>
      <c r="T54" s="558"/>
      <c r="U54" s="560">
        <f t="shared" si="3"/>
        <v>8</v>
      </c>
      <c r="V54" s="561">
        <f t="shared" si="0"/>
        <v>26802.03045685279</v>
      </c>
    </row>
    <row r="55" spans="1:22" s="528" customFormat="1" ht="19.5" x14ac:dyDescent="0.3">
      <c r="A55" s="529">
        <v>48</v>
      </c>
      <c r="B55" s="535" t="s">
        <v>840</v>
      </c>
      <c r="C55" s="531">
        <v>0</v>
      </c>
      <c r="D55" s="532" t="s">
        <v>841</v>
      </c>
      <c r="E55" s="550">
        <v>80000</v>
      </c>
      <c r="F55" s="548">
        <f>E55/21.67</f>
        <v>3691.739732348869</v>
      </c>
      <c r="G55" s="551">
        <v>15</v>
      </c>
      <c r="H55" s="557">
        <f t="shared" si="2"/>
        <v>15</v>
      </c>
      <c r="I55" s="570"/>
      <c r="J55" s="570"/>
      <c r="K55" s="558"/>
      <c r="L55" s="558"/>
      <c r="M55" s="558"/>
      <c r="N55" s="571"/>
      <c r="O55" s="558"/>
      <c r="P55" s="558"/>
      <c r="Q55" s="558">
        <v>4</v>
      </c>
      <c r="R55" s="558"/>
      <c r="S55" s="558"/>
      <c r="T55" s="558"/>
      <c r="U55" s="560">
        <f t="shared" si="3"/>
        <v>11</v>
      </c>
      <c r="V55" s="561">
        <f t="shared" si="0"/>
        <v>40609.137055837557</v>
      </c>
    </row>
    <row r="56" spans="1:22" s="528" customFormat="1" ht="19.5" x14ac:dyDescent="0.3">
      <c r="A56" s="524">
        <v>49</v>
      </c>
      <c r="B56" s="535" t="s">
        <v>573</v>
      </c>
      <c r="C56" s="531">
        <v>0</v>
      </c>
      <c r="D56" s="532" t="s">
        <v>307</v>
      </c>
      <c r="E56" s="550">
        <v>240000</v>
      </c>
      <c r="F56" s="548">
        <f>E56/21.67</f>
        <v>11075.219197046606</v>
      </c>
      <c r="G56" s="551">
        <v>15</v>
      </c>
      <c r="H56" s="557">
        <f t="shared" si="2"/>
        <v>15</v>
      </c>
      <c r="I56" s="570"/>
      <c r="J56" s="570"/>
      <c r="K56" s="558"/>
      <c r="L56" s="558"/>
      <c r="M56" s="558"/>
      <c r="N56" s="558"/>
      <c r="O56" s="558">
        <v>5</v>
      </c>
      <c r="P56" s="558"/>
      <c r="Q56" s="558"/>
      <c r="R56" s="558"/>
      <c r="S56" s="558"/>
      <c r="T56" s="558"/>
      <c r="U56" s="560">
        <f t="shared" si="3"/>
        <v>10</v>
      </c>
      <c r="V56" s="561">
        <f t="shared" si="0"/>
        <v>110752.19197046607</v>
      </c>
    </row>
    <row r="57" spans="1:22" s="528" customFormat="1" ht="19.5" x14ac:dyDescent="0.3">
      <c r="A57" s="529">
        <v>50</v>
      </c>
      <c r="B57" s="534" t="s">
        <v>574</v>
      </c>
      <c r="C57" s="531">
        <v>15</v>
      </c>
      <c r="D57" s="532" t="s">
        <v>307</v>
      </c>
      <c r="E57" s="550">
        <v>400000</v>
      </c>
      <c r="F57" s="548">
        <f t="shared" ref="F57:F58" si="4">E57/21.67</f>
        <v>18458.698661744347</v>
      </c>
      <c r="G57" s="551">
        <v>30</v>
      </c>
      <c r="H57" s="557">
        <f t="shared" si="2"/>
        <v>45</v>
      </c>
      <c r="I57" s="570"/>
      <c r="J57" s="570"/>
      <c r="K57" s="558"/>
      <c r="L57" s="558"/>
      <c r="M57" s="558"/>
      <c r="N57" s="558">
        <v>8</v>
      </c>
      <c r="O57" s="558"/>
      <c r="P57" s="558">
        <v>3</v>
      </c>
      <c r="Q57" s="558"/>
      <c r="R57" s="558"/>
      <c r="S57" s="558"/>
      <c r="T57" s="558"/>
      <c r="U57" s="560">
        <f t="shared" si="3"/>
        <v>34</v>
      </c>
      <c r="V57" s="561">
        <f t="shared" si="0"/>
        <v>627595.75449930783</v>
      </c>
    </row>
    <row r="58" spans="1:22" s="528" customFormat="1" ht="19.5" x14ac:dyDescent="0.3">
      <c r="A58" s="529">
        <v>51</v>
      </c>
      <c r="B58" s="535" t="s">
        <v>842</v>
      </c>
      <c r="C58" s="531">
        <v>0</v>
      </c>
      <c r="D58" s="532" t="s">
        <v>843</v>
      </c>
      <c r="E58" s="550">
        <v>80000</v>
      </c>
      <c r="F58" s="548">
        <f t="shared" si="4"/>
        <v>3691.739732348869</v>
      </c>
      <c r="G58" s="551">
        <v>15</v>
      </c>
      <c r="H58" s="557">
        <f t="shared" si="2"/>
        <v>15</v>
      </c>
      <c r="I58" s="570"/>
      <c r="J58" s="570"/>
      <c r="K58" s="558"/>
      <c r="L58" s="558"/>
      <c r="M58" s="558"/>
      <c r="N58" s="558"/>
      <c r="O58" s="558"/>
      <c r="P58" s="558"/>
      <c r="Q58" s="558"/>
      <c r="R58" s="558"/>
      <c r="S58" s="558"/>
      <c r="T58" s="558"/>
      <c r="U58" s="560">
        <f t="shared" si="3"/>
        <v>15</v>
      </c>
      <c r="V58" s="561">
        <f t="shared" si="0"/>
        <v>55376.095985233034</v>
      </c>
    </row>
    <row r="59" spans="1:22" s="528" customFormat="1" ht="19.5" x14ac:dyDescent="0.3">
      <c r="A59" s="524">
        <v>52</v>
      </c>
      <c r="B59" s="530" t="s">
        <v>695</v>
      </c>
      <c r="C59" s="531">
        <v>0</v>
      </c>
      <c r="D59" s="532" t="s">
        <v>532</v>
      </c>
      <c r="E59" s="550">
        <v>90000</v>
      </c>
      <c r="F59" s="548">
        <f>E59/21.67</f>
        <v>4153.2071988924781</v>
      </c>
      <c r="G59" s="551">
        <v>15</v>
      </c>
      <c r="H59" s="557">
        <f t="shared" si="2"/>
        <v>15</v>
      </c>
      <c r="I59" s="570"/>
      <c r="J59" s="570"/>
      <c r="K59" s="558">
        <v>2</v>
      </c>
      <c r="L59" s="558"/>
      <c r="M59" s="558"/>
      <c r="N59" s="558">
        <v>5</v>
      </c>
      <c r="O59" s="558"/>
      <c r="P59" s="558"/>
      <c r="Q59" s="558"/>
      <c r="R59" s="558"/>
      <c r="S59" s="558"/>
      <c r="T59" s="558"/>
      <c r="U59" s="560">
        <f t="shared" si="3"/>
        <v>8</v>
      </c>
      <c r="V59" s="561">
        <f t="shared" si="0"/>
        <v>33225.657591139825</v>
      </c>
    </row>
    <row r="60" spans="1:22" s="528" customFormat="1" ht="19.5" x14ac:dyDescent="0.3">
      <c r="A60" s="529">
        <v>53</v>
      </c>
      <c r="B60" s="530" t="s">
        <v>578</v>
      </c>
      <c r="C60" s="531">
        <v>3</v>
      </c>
      <c r="D60" s="532" t="s">
        <v>694</v>
      </c>
      <c r="E60" s="550">
        <v>55000</v>
      </c>
      <c r="F60" s="548">
        <f>E60/21.67</f>
        <v>2538.0710659898477</v>
      </c>
      <c r="G60" s="551">
        <v>20</v>
      </c>
      <c r="H60" s="557">
        <f t="shared" si="2"/>
        <v>23</v>
      </c>
      <c r="I60" s="570"/>
      <c r="J60" s="570"/>
      <c r="K60" s="558"/>
      <c r="L60" s="558">
        <v>23</v>
      </c>
      <c r="M60" s="558"/>
      <c r="N60" s="558"/>
      <c r="O60" s="558"/>
      <c r="P60" s="558"/>
      <c r="Q60" s="558"/>
      <c r="R60" s="558"/>
      <c r="S60" s="558"/>
      <c r="T60" s="558"/>
      <c r="U60" s="560">
        <f t="shared" si="3"/>
        <v>0</v>
      </c>
      <c r="V60" s="561">
        <f t="shared" si="0"/>
        <v>0</v>
      </c>
    </row>
    <row r="61" spans="1:22" s="528" customFormat="1" ht="19.5" x14ac:dyDescent="0.3">
      <c r="A61" s="529">
        <v>54</v>
      </c>
      <c r="B61" s="530" t="s">
        <v>696</v>
      </c>
      <c r="C61" s="531">
        <v>15</v>
      </c>
      <c r="D61" s="532" t="s">
        <v>575</v>
      </c>
      <c r="E61" s="550">
        <v>400000</v>
      </c>
      <c r="F61" s="548">
        <f t="shared" ref="F61:F63" si="5">E61/21.67</f>
        <v>18458.698661744347</v>
      </c>
      <c r="G61" s="551">
        <v>15</v>
      </c>
      <c r="H61" s="557">
        <f t="shared" si="2"/>
        <v>30</v>
      </c>
      <c r="I61" s="570"/>
      <c r="J61" s="570"/>
      <c r="K61" s="558"/>
      <c r="L61" s="558">
        <v>5</v>
      </c>
      <c r="M61" s="558"/>
      <c r="N61" s="558"/>
      <c r="O61" s="558"/>
      <c r="P61" s="558"/>
      <c r="Q61" s="558"/>
      <c r="R61" s="558"/>
      <c r="S61" s="558"/>
      <c r="T61" s="558"/>
      <c r="U61" s="560">
        <f t="shared" si="3"/>
        <v>25</v>
      </c>
      <c r="V61" s="561">
        <f t="shared" si="0"/>
        <v>461467.46654360869</v>
      </c>
    </row>
    <row r="62" spans="1:22" s="528" customFormat="1" ht="19.5" x14ac:dyDescent="0.3">
      <c r="A62" s="524">
        <v>55</v>
      </c>
      <c r="B62" s="535" t="s">
        <v>576</v>
      </c>
      <c r="C62" s="537">
        <v>5</v>
      </c>
      <c r="D62" s="532" t="s">
        <v>545</v>
      </c>
      <c r="E62" s="550">
        <v>40000</v>
      </c>
      <c r="F62" s="548">
        <f t="shared" si="5"/>
        <v>1845.8698661744345</v>
      </c>
      <c r="G62" s="551">
        <v>30</v>
      </c>
      <c r="H62" s="557">
        <f t="shared" si="2"/>
        <v>35</v>
      </c>
      <c r="I62" s="570"/>
      <c r="J62" s="570"/>
      <c r="K62" s="558"/>
      <c r="L62" s="558">
        <v>10</v>
      </c>
      <c r="M62" s="558"/>
      <c r="N62" s="571"/>
      <c r="O62" s="558"/>
      <c r="P62" s="558"/>
      <c r="Q62" s="558"/>
      <c r="R62" s="558"/>
      <c r="S62" s="558"/>
      <c r="T62" s="558"/>
      <c r="U62" s="560">
        <f t="shared" si="3"/>
        <v>25</v>
      </c>
      <c r="V62" s="561">
        <f t="shared" si="0"/>
        <v>46146.746654360861</v>
      </c>
    </row>
    <row r="63" spans="1:22" s="528" customFormat="1" ht="19.5" x14ac:dyDescent="0.3">
      <c r="A63" s="529">
        <v>56</v>
      </c>
      <c r="B63" s="530" t="s">
        <v>697</v>
      </c>
      <c r="C63" s="531">
        <v>0</v>
      </c>
      <c r="D63" s="532" t="s">
        <v>552</v>
      </c>
      <c r="E63" s="550">
        <v>115000</v>
      </c>
      <c r="F63" s="548">
        <f t="shared" si="5"/>
        <v>5306.8758652514989</v>
      </c>
      <c r="G63" s="551">
        <v>15</v>
      </c>
      <c r="H63" s="557">
        <f t="shared" si="2"/>
        <v>15</v>
      </c>
      <c r="I63" s="570"/>
      <c r="J63" s="570"/>
      <c r="K63" s="558"/>
      <c r="L63" s="558">
        <v>1</v>
      </c>
      <c r="M63" s="558"/>
      <c r="N63" s="558"/>
      <c r="O63" s="558"/>
      <c r="P63" s="558">
        <v>6</v>
      </c>
      <c r="Q63" s="558"/>
      <c r="R63" s="558"/>
      <c r="S63" s="558"/>
      <c r="T63" s="558"/>
      <c r="U63" s="560">
        <f t="shared" si="3"/>
        <v>8</v>
      </c>
      <c r="V63" s="561">
        <f t="shared" si="0"/>
        <v>42455.006922011991</v>
      </c>
    </row>
    <row r="64" spans="1:22" s="528" customFormat="1" ht="19.5" x14ac:dyDescent="0.3">
      <c r="A64" s="529">
        <v>57</v>
      </c>
      <c r="B64" s="530" t="s">
        <v>698</v>
      </c>
      <c r="C64" s="531">
        <v>0</v>
      </c>
      <c r="D64" s="532" t="s">
        <v>307</v>
      </c>
      <c r="E64" s="550">
        <v>240000</v>
      </c>
      <c r="F64" s="548">
        <f>E64/21.67</f>
        <v>11075.219197046606</v>
      </c>
      <c r="G64" s="551">
        <v>15</v>
      </c>
      <c r="H64" s="557">
        <f t="shared" si="2"/>
        <v>15</v>
      </c>
      <c r="I64" s="570">
        <v>5</v>
      </c>
      <c r="J64" s="570"/>
      <c r="K64" s="558">
        <v>5</v>
      </c>
      <c r="L64" s="558"/>
      <c r="M64" s="558"/>
      <c r="N64" s="558"/>
      <c r="O64" s="558"/>
      <c r="P64" s="558"/>
      <c r="Q64" s="558"/>
      <c r="R64" s="558"/>
      <c r="S64" s="558"/>
      <c r="T64" s="558"/>
      <c r="U64" s="560">
        <f t="shared" si="3"/>
        <v>5</v>
      </c>
      <c r="V64" s="561">
        <f t="shared" si="0"/>
        <v>55376.095985233034</v>
      </c>
    </row>
    <row r="65" spans="1:22" s="528" customFormat="1" ht="19.5" x14ac:dyDescent="0.3">
      <c r="A65" s="524">
        <v>58</v>
      </c>
      <c r="B65" s="532" t="s">
        <v>577</v>
      </c>
      <c r="C65" s="531">
        <v>25</v>
      </c>
      <c r="D65" s="532" t="s">
        <v>528</v>
      </c>
      <c r="E65" s="550">
        <v>240000</v>
      </c>
      <c r="F65" s="548">
        <f>E65/21.67</f>
        <v>11075.219197046606</v>
      </c>
      <c r="G65" s="551">
        <v>30</v>
      </c>
      <c r="H65" s="557">
        <f t="shared" si="2"/>
        <v>55</v>
      </c>
      <c r="I65" s="570"/>
      <c r="J65" s="570"/>
      <c r="K65" s="558">
        <v>6</v>
      </c>
      <c r="L65" s="558"/>
      <c r="M65" s="558"/>
      <c r="N65" s="558"/>
      <c r="O65" s="558">
        <v>6</v>
      </c>
      <c r="P65" s="558">
        <v>18</v>
      </c>
      <c r="Q65" s="558"/>
      <c r="R65" s="558"/>
      <c r="S65" s="558"/>
      <c r="T65" s="558"/>
      <c r="U65" s="560">
        <f t="shared" si="3"/>
        <v>25</v>
      </c>
      <c r="V65" s="561">
        <f t="shared" si="0"/>
        <v>276880.47992616514</v>
      </c>
    </row>
    <row r="66" spans="1:22" s="528" customFormat="1" ht="19.5" x14ac:dyDescent="0.3">
      <c r="A66" s="529">
        <v>59</v>
      </c>
      <c r="B66" s="530" t="s">
        <v>579</v>
      </c>
      <c r="C66" s="531">
        <v>13</v>
      </c>
      <c r="D66" s="532" t="s">
        <v>532</v>
      </c>
      <c r="E66" s="550">
        <v>72600</v>
      </c>
      <c r="F66" s="548">
        <f t="shared" ref="F66:F70" si="6">E66/21.67</f>
        <v>3350.2538071065987</v>
      </c>
      <c r="G66" s="551">
        <v>25</v>
      </c>
      <c r="H66" s="557">
        <f t="shared" si="2"/>
        <v>38</v>
      </c>
      <c r="I66" s="570">
        <v>3</v>
      </c>
      <c r="J66" s="570"/>
      <c r="K66" s="558">
        <v>7</v>
      </c>
      <c r="L66" s="558">
        <v>2</v>
      </c>
      <c r="M66" s="558"/>
      <c r="N66" s="558">
        <v>5</v>
      </c>
      <c r="O66" s="558"/>
      <c r="P66" s="558"/>
      <c r="Q66" s="558"/>
      <c r="R66" s="558"/>
      <c r="S66" s="558"/>
      <c r="T66" s="558"/>
      <c r="U66" s="560">
        <f t="shared" si="3"/>
        <v>21</v>
      </c>
      <c r="V66" s="561">
        <f t="shared" si="0"/>
        <v>70355.32994923857</v>
      </c>
    </row>
    <row r="67" spans="1:22" s="528" customFormat="1" ht="19.5" x14ac:dyDescent="0.3">
      <c r="A67" s="529">
        <v>60</v>
      </c>
      <c r="B67" s="530" t="s">
        <v>580</v>
      </c>
      <c r="C67" s="531">
        <v>0</v>
      </c>
      <c r="D67" s="532" t="s">
        <v>307</v>
      </c>
      <c r="E67" s="550">
        <v>132000</v>
      </c>
      <c r="F67" s="548">
        <f t="shared" si="6"/>
        <v>6091.3705583756337</v>
      </c>
      <c r="G67" s="551">
        <v>15</v>
      </c>
      <c r="H67" s="557">
        <f t="shared" si="2"/>
        <v>15</v>
      </c>
      <c r="I67" s="570">
        <v>10</v>
      </c>
      <c r="J67" s="570"/>
      <c r="K67" s="558"/>
      <c r="L67" s="558"/>
      <c r="M67" s="558"/>
      <c r="N67" s="558"/>
      <c r="O67" s="558"/>
      <c r="P67" s="558"/>
      <c r="Q67" s="558"/>
      <c r="R67" s="558"/>
      <c r="S67" s="558"/>
      <c r="T67" s="558"/>
      <c r="U67" s="560">
        <f t="shared" si="3"/>
        <v>5</v>
      </c>
      <c r="V67" s="561">
        <f t="shared" si="0"/>
        <v>30456.852791878169</v>
      </c>
    </row>
    <row r="68" spans="1:22" s="528" customFormat="1" ht="19.5" x14ac:dyDescent="0.3">
      <c r="A68" s="524">
        <v>61</v>
      </c>
      <c r="B68" s="530" t="s">
        <v>699</v>
      </c>
      <c r="C68" s="531">
        <v>0</v>
      </c>
      <c r="D68" s="532" t="s">
        <v>700</v>
      </c>
      <c r="E68" s="550">
        <v>100000</v>
      </c>
      <c r="F68" s="548">
        <f t="shared" si="6"/>
        <v>4614.6746654360868</v>
      </c>
      <c r="G68" s="551">
        <v>15</v>
      </c>
      <c r="H68" s="557">
        <f t="shared" si="2"/>
        <v>15</v>
      </c>
      <c r="I68" s="570"/>
      <c r="J68" s="570"/>
      <c r="K68" s="558"/>
      <c r="L68" s="558"/>
      <c r="M68" s="558"/>
      <c r="N68" s="558"/>
      <c r="O68" s="558"/>
      <c r="P68" s="558">
        <v>5</v>
      </c>
      <c r="Q68" s="558">
        <v>5</v>
      </c>
      <c r="R68" s="558"/>
      <c r="S68" s="558"/>
      <c r="T68" s="558"/>
      <c r="U68" s="560">
        <f t="shared" si="3"/>
        <v>5</v>
      </c>
      <c r="V68" s="561">
        <f t="shared" si="0"/>
        <v>23073.373327180434</v>
      </c>
    </row>
    <row r="69" spans="1:22" s="528" customFormat="1" ht="19.5" x14ac:dyDescent="0.3">
      <c r="A69" s="529">
        <v>62</v>
      </c>
      <c r="B69" s="534" t="s">
        <v>581</v>
      </c>
      <c r="C69" s="531">
        <v>9</v>
      </c>
      <c r="D69" s="532" t="s">
        <v>528</v>
      </c>
      <c r="E69" s="550">
        <v>145000</v>
      </c>
      <c r="F69" s="548">
        <f t="shared" si="6"/>
        <v>6691.2782648823249</v>
      </c>
      <c r="G69" s="551">
        <v>25</v>
      </c>
      <c r="H69" s="557">
        <f t="shared" si="2"/>
        <v>34</v>
      </c>
      <c r="I69" s="570"/>
      <c r="J69" s="570"/>
      <c r="K69" s="558"/>
      <c r="L69" s="558"/>
      <c r="M69" s="558">
        <v>1</v>
      </c>
      <c r="N69" s="558"/>
      <c r="O69" s="558"/>
      <c r="P69" s="558">
        <v>7</v>
      </c>
      <c r="Q69" s="558"/>
      <c r="R69" s="558"/>
      <c r="S69" s="558"/>
      <c r="T69" s="558"/>
      <c r="U69" s="560">
        <f t="shared" si="3"/>
        <v>26</v>
      </c>
      <c r="V69" s="561">
        <f t="shared" si="0"/>
        <v>173973.23488694045</v>
      </c>
    </row>
    <row r="70" spans="1:22" s="528" customFormat="1" ht="19.5" x14ac:dyDescent="0.3">
      <c r="A70" s="529">
        <v>63</v>
      </c>
      <c r="B70" s="530" t="s">
        <v>582</v>
      </c>
      <c r="C70" s="531">
        <v>7</v>
      </c>
      <c r="D70" s="532" t="s">
        <v>583</v>
      </c>
      <c r="E70" s="550">
        <v>31500</v>
      </c>
      <c r="F70" s="548">
        <f t="shared" si="6"/>
        <v>1453.6225196123671</v>
      </c>
      <c r="G70" s="551">
        <v>20</v>
      </c>
      <c r="H70" s="557">
        <f t="shared" si="2"/>
        <v>27</v>
      </c>
      <c r="I70" s="570">
        <v>1</v>
      </c>
      <c r="J70" s="570"/>
      <c r="K70" s="558"/>
      <c r="L70" s="558"/>
      <c r="M70" s="558"/>
      <c r="N70" s="571"/>
      <c r="O70" s="558"/>
      <c r="P70" s="558">
        <v>13</v>
      </c>
      <c r="Q70" s="558"/>
      <c r="R70" s="558"/>
      <c r="S70" s="558"/>
      <c r="T70" s="558"/>
      <c r="U70" s="560">
        <f t="shared" si="3"/>
        <v>13</v>
      </c>
      <c r="V70" s="561">
        <f t="shared" si="0"/>
        <v>18897.092754960773</v>
      </c>
    </row>
    <row r="71" spans="1:22" s="528" customFormat="1" ht="19.5" x14ac:dyDescent="0.3">
      <c r="A71" s="524">
        <v>64</v>
      </c>
      <c r="B71" s="530" t="s">
        <v>584</v>
      </c>
      <c r="C71" s="531">
        <v>7</v>
      </c>
      <c r="D71" s="532" t="s">
        <v>844</v>
      </c>
      <c r="E71" s="550">
        <v>60000</v>
      </c>
      <c r="F71" s="548">
        <f>E71/21.67</f>
        <v>2768.8047992616516</v>
      </c>
      <c r="G71" s="551">
        <v>15</v>
      </c>
      <c r="H71" s="557">
        <f t="shared" si="2"/>
        <v>22</v>
      </c>
      <c r="I71" s="570"/>
      <c r="J71" s="570"/>
      <c r="K71" s="558"/>
      <c r="L71" s="558"/>
      <c r="M71" s="558">
        <v>5</v>
      </c>
      <c r="N71" s="571"/>
      <c r="O71" s="558">
        <v>2</v>
      </c>
      <c r="P71" s="558"/>
      <c r="Q71" s="558"/>
      <c r="R71" s="558"/>
      <c r="S71" s="558"/>
      <c r="T71" s="558"/>
      <c r="U71" s="560">
        <f t="shared" si="3"/>
        <v>15</v>
      </c>
      <c r="V71" s="561">
        <f t="shared" si="0"/>
        <v>41532.071988924778</v>
      </c>
    </row>
    <row r="72" spans="1:22" s="528" customFormat="1" ht="19.5" x14ac:dyDescent="0.3">
      <c r="A72" s="529">
        <v>65</v>
      </c>
      <c r="B72" s="530" t="s">
        <v>585</v>
      </c>
      <c r="C72" s="531">
        <v>0</v>
      </c>
      <c r="D72" s="532" t="s">
        <v>545</v>
      </c>
      <c r="E72" s="550">
        <v>33000</v>
      </c>
      <c r="F72" s="548">
        <f>E72/21.67</f>
        <v>1522.8426395939084</v>
      </c>
      <c r="G72" s="551">
        <v>15</v>
      </c>
      <c r="H72" s="557">
        <f t="shared" si="2"/>
        <v>15</v>
      </c>
      <c r="I72" s="570"/>
      <c r="J72" s="570"/>
      <c r="K72" s="558"/>
      <c r="L72" s="558"/>
      <c r="M72" s="558"/>
      <c r="N72" s="558"/>
      <c r="O72" s="558"/>
      <c r="P72" s="558"/>
      <c r="Q72" s="558"/>
      <c r="R72" s="558"/>
      <c r="S72" s="558"/>
      <c r="T72" s="558"/>
      <c r="U72" s="560">
        <f t="shared" si="3"/>
        <v>15</v>
      </c>
      <c r="V72" s="561">
        <f t="shared" ref="V72:V97" si="7">F72*U72</f>
        <v>22842.639593908625</v>
      </c>
    </row>
    <row r="73" spans="1:22" s="528" customFormat="1" ht="19.5" x14ac:dyDescent="0.3">
      <c r="A73" s="529">
        <v>66</v>
      </c>
      <c r="B73" s="530" t="s">
        <v>701</v>
      </c>
      <c r="C73" s="531">
        <v>10</v>
      </c>
      <c r="D73" s="532" t="s">
        <v>532</v>
      </c>
      <c r="E73" s="550">
        <v>90000</v>
      </c>
      <c r="F73" s="548">
        <f t="shared" ref="F73:F89" si="8">E73/21.67</f>
        <v>4153.2071988924781</v>
      </c>
      <c r="G73" s="551">
        <v>30</v>
      </c>
      <c r="H73" s="557">
        <f t="shared" ref="H73:H97" si="9">C73+G73</f>
        <v>40</v>
      </c>
      <c r="I73" s="570"/>
      <c r="J73" s="570"/>
      <c r="K73" s="558"/>
      <c r="L73" s="558"/>
      <c r="M73" s="558"/>
      <c r="N73" s="558"/>
      <c r="O73" s="558">
        <v>10</v>
      </c>
      <c r="P73" s="558"/>
      <c r="Q73" s="558"/>
      <c r="R73" s="558"/>
      <c r="S73" s="558"/>
      <c r="T73" s="558"/>
      <c r="U73" s="560">
        <f t="shared" ref="U73:U97" si="10">H73-I73-J73-K73-L73-M73-N73-O73-P73-Q73-R73-S73-T73</f>
        <v>30</v>
      </c>
      <c r="V73" s="561">
        <f t="shared" si="7"/>
        <v>124596.21596677434</v>
      </c>
    </row>
    <row r="74" spans="1:22" s="528" customFormat="1" ht="19.5" x14ac:dyDescent="0.3">
      <c r="A74" s="524">
        <v>67</v>
      </c>
      <c r="B74" s="535" t="s">
        <v>586</v>
      </c>
      <c r="C74" s="531">
        <v>11</v>
      </c>
      <c r="D74" s="532" t="s">
        <v>702</v>
      </c>
      <c r="E74" s="550">
        <v>55000</v>
      </c>
      <c r="F74" s="548">
        <f t="shared" si="8"/>
        <v>2538.0710659898477</v>
      </c>
      <c r="G74" s="551">
        <v>25</v>
      </c>
      <c r="H74" s="557">
        <f t="shared" si="9"/>
        <v>36</v>
      </c>
      <c r="I74" s="570">
        <v>6</v>
      </c>
      <c r="J74" s="570"/>
      <c r="K74" s="558"/>
      <c r="L74" s="558"/>
      <c r="M74" s="558"/>
      <c r="N74" s="558">
        <v>9</v>
      </c>
      <c r="O74" s="558"/>
      <c r="P74" s="558"/>
      <c r="Q74" s="558">
        <v>9</v>
      </c>
      <c r="R74" s="558"/>
      <c r="S74" s="558"/>
      <c r="T74" s="558"/>
      <c r="U74" s="560">
        <f t="shared" si="10"/>
        <v>12</v>
      </c>
      <c r="V74" s="561">
        <f t="shared" si="7"/>
        <v>30456.852791878173</v>
      </c>
    </row>
    <row r="75" spans="1:22" s="528" customFormat="1" ht="19.5" x14ac:dyDescent="0.3">
      <c r="A75" s="529">
        <v>68</v>
      </c>
      <c r="B75" s="530" t="s">
        <v>703</v>
      </c>
      <c r="C75" s="538">
        <v>0</v>
      </c>
      <c r="D75" s="532" t="s">
        <v>543</v>
      </c>
      <c r="E75" s="550">
        <v>32500</v>
      </c>
      <c r="F75" s="548">
        <f t="shared" si="8"/>
        <v>1499.769266266728</v>
      </c>
      <c r="G75" s="551">
        <v>15</v>
      </c>
      <c r="H75" s="557">
        <f t="shared" si="9"/>
        <v>15</v>
      </c>
      <c r="I75" s="570"/>
      <c r="J75" s="570"/>
      <c r="K75" s="558"/>
      <c r="L75" s="558"/>
      <c r="M75" s="558"/>
      <c r="N75" s="558">
        <v>9</v>
      </c>
      <c r="O75" s="558"/>
      <c r="P75" s="558"/>
      <c r="Q75" s="558"/>
      <c r="R75" s="558"/>
      <c r="S75" s="558"/>
      <c r="T75" s="558"/>
      <c r="U75" s="560">
        <f t="shared" si="10"/>
        <v>6</v>
      </c>
      <c r="V75" s="561">
        <f t="shared" si="7"/>
        <v>8998.6155976003683</v>
      </c>
    </row>
    <row r="76" spans="1:22" s="528" customFormat="1" ht="19.5" x14ac:dyDescent="0.3">
      <c r="A76" s="529">
        <v>69</v>
      </c>
      <c r="B76" s="530" t="s">
        <v>587</v>
      </c>
      <c r="C76" s="531">
        <v>15</v>
      </c>
      <c r="D76" s="532" t="s">
        <v>588</v>
      </c>
      <c r="E76" s="550">
        <v>88000</v>
      </c>
      <c r="F76" s="548">
        <f t="shared" si="8"/>
        <v>4060.9137055837559</v>
      </c>
      <c r="G76" s="551">
        <v>30</v>
      </c>
      <c r="H76" s="557">
        <f t="shared" si="9"/>
        <v>45</v>
      </c>
      <c r="I76" s="570"/>
      <c r="J76" s="570"/>
      <c r="K76" s="558"/>
      <c r="L76" s="558"/>
      <c r="M76" s="558"/>
      <c r="N76" s="558"/>
      <c r="O76" s="558">
        <v>19</v>
      </c>
      <c r="P76" s="558"/>
      <c r="Q76" s="558"/>
      <c r="R76" s="558"/>
      <c r="S76" s="558"/>
      <c r="T76" s="558"/>
      <c r="U76" s="560">
        <f t="shared" si="10"/>
        <v>26</v>
      </c>
      <c r="V76" s="561">
        <f t="shared" si="7"/>
        <v>105583.75634517765</v>
      </c>
    </row>
    <row r="77" spans="1:22" s="528" customFormat="1" ht="19.5" x14ac:dyDescent="0.3">
      <c r="A77" s="524">
        <v>70</v>
      </c>
      <c r="B77" s="530" t="s">
        <v>589</v>
      </c>
      <c r="C77" s="538">
        <v>0</v>
      </c>
      <c r="D77" s="532" t="s">
        <v>307</v>
      </c>
      <c r="E77" s="550">
        <v>240000</v>
      </c>
      <c r="F77" s="548">
        <f t="shared" si="8"/>
        <v>11075.219197046606</v>
      </c>
      <c r="G77" s="551">
        <v>15</v>
      </c>
      <c r="H77" s="557">
        <f t="shared" si="9"/>
        <v>15</v>
      </c>
      <c r="I77" s="570"/>
      <c r="J77" s="570"/>
      <c r="K77" s="558"/>
      <c r="L77" s="558"/>
      <c r="M77" s="558">
        <v>2</v>
      </c>
      <c r="N77" s="558"/>
      <c r="O77" s="558"/>
      <c r="P77" s="558"/>
      <c r="Q77" s="558"/>
      <c r="R77" s="558"/>
      <c r="S77" s="558"/>
      <c r="T77" s="558"/>
      <c r="U77" s="560">
        <f t="shared" si="10"/>
        <v>13</v>
      </c>
      <c r="V77" s="561">
        <f t="shared" si="7"/>
        <v>143977.84956160589</v>
      </c>
    </row>
    <row r="78" spans="1:22" s="528" customFormat="1" ht="19.5" x14ac:dyDescent="0.3">
      <c r="A78" s="529">
        <v>71</v>
      </c>
      <c r="B78" s="534" t="s">
        <v>590</v>
      </c>
      <c r="C78" s="538">
        <v>5</v>
      </c>
      <c r="D78" s="532" t="s">
        <v>756</v>
      </c>
      <c r="E78" s="550">
        <v>190000</v>
      </c>
      <c r="F78" s="548">
        <f t="shared" si="8"/>
        <v>8767.8818643285649</v>
      </c>
      <c r="G78" s="551">
        <v>30</v>
      </c>
      <c r="H78" s="557">
        <f t="shared" si="9"/>
        <v>35</v>
      </c>
      <c r="I78" s="570">
        <v>4</v>
      </c>
      <c r="J78" s="570">
        <v>1</v>
      </c>
      <c r="K78" s="558">
        <v>2</v>
      </c>
      <c r="L78" s="558">
        <v>6</v>
      </c>
      <c r="M78" s="558"/>
      <c r="N78" s="558"/>
      <c r="O78" s="558">
        <v>2</v>
      </c>
      <c r="P78" s="558"/>
      <c r="Q78" s="558">
        <v>2</v>
      </c>
      <c r="R78" s="558"/>
      <c r="S78" s="558"/>
      <c r="T78" s="558"/>
      <c r="U78" s="560">
        <f t="shared" si="10"/>
        <v>18</v>
      </c>
      <c r="V78" s="561">
        <f t="shared" si="7"/>
        <v>157821.87355791416</v>
      </c>
    </row>
    <row r="79" spans="1:22" s="528" customFormat="1" ht="19.5" x14ac:dyDescent="0.3">
      <c r="A79" s="529">
        <v>72</v>
      </c>
      <c r="B79" s="530" t="s">
        <v>591</v>
      </c>
      <c r="C79" s="538">
        <v>0</v>
      </c>
      <c r="D79" s="532" t="s">
        <v>536</v>
      </c>
      <c r="E79" s="550">
        <v>30200</v>
      </c>
      <c r="F79" s="548">
        <f t="shared" si="8"/>
        <v>1393.6317489616981</v>
      </c>
      <c r="G79" s="551">
        <v>15</v>
      </c>
      <c r="H79" s="557">
        <f t="shared" si="9"/>
        <v>15</v>
      </c>
      <c r="I79" s="570"/>
      <c r="J79" s="570"/>
      <c r="K79" s="558"/>
      <c r="L79" s="558"/>
      <c r="M79" s="558"/>
      <c r="N79" s="558">
        <v>1</v>
      </c>
      <c r="O79" s="558"/>
      <c r="P79" s="558">
        <v>14</v>
      </c>
      <c r="Q79" s="558"/>
      <c r="R79" s="558"/>
      <c r="S79" s="558"/>
      <c r="T79" s="558"/>
      <c r="U79" s="560">
        <f t="shared" si="10"/>
        <v>0</v>
      </c>
      <c r="V79" s="561">
        <f t="shared" si="7"/>
        <v>0</v>
      </c>
    </row>
    <row r="80" spans="1:22" s="528" customFormat="1" ht="19.5" x14ac:dyDescent="0.3">
      <c r="A80" s="524">
        <v>73</v>
      </c>
      <c r="B80" s="534" t="s">
        <v>592</v>
      </c>
      <c r="C80" s="538">
        <v>6</v>
      </c>
      <c r="D80" s="532" t="s">
        <v>532</v>
      </c>
      <c r="E80" s="550">
        <v>72600</v>
      </c>
      <c r="F80" s="548">
        <f t="shared" si="8"/>
        <v>3350.2538071065987</v>
      </c>
      <c r="G80" s="551">
        <v>15</v>
      </c>
      <c r="H80" s="557">
        <f t="shared" si="9"/>
        <v>21</v>
      </c>
      <c r="I80" s="570"/>
      <c r="J80" s="570"/>
      <c r="K80" s="558">
        <v>12</v>
      </c>
      <c r="L80" s="558"/>
      <c r="M80" s="558"/>
      <c r="N80" s="571"/>
      <c r="O80" s="558"/>
      <c r="P80" s="558"/>
      <c r="Q80" s="558"/>
      <c r="R80" s="558"/>
      <c r="S80" s="558"/>
      <c r="T80" s="558"/>
      <c r="U80" s="560">
        <f t="shared" si="10"/>
        <v>9</v>
      </c>
      <c r="V80" s="561">
        <f t="shared" si="7"/>
        <v>30152.284263959387</v>
      </c>
    </row>
    <row r="81" spans="1:25" s="528" customFormat="1" ht="19.5" x14ac:dyDescent="0.3">
      <c r="A81" s="529">
        <v>74</v>
      </c>
      <c r="B81" s="534" t="s">
        <v>593</v>
      </c>
      <c r="C81" s="538">
        <v>9</v>
      </c>
      <c r="D81" s="532" t="s">
        <v>557</v>
      </c>
      <c r="E81" s="550">
        <v>50500</v>
      </c>
      <c r="F81" s="548">
        <f t="shared" si="8"/>
        <v>2330.4107060452238</v>
      </c>
      <c r="G81" s="551">
        <v>20</v>
      </c>
      <c r="H81" s="557">
        <f t="shared" si="9"/>
        <v>29</v>
      </c>
      <c r="I81" s="570">
        <v>14</v>
      </c>
      <c r="J81" s="570"/>
      <c r="K81" s="558"/>
      <c r="L81" s="558"/>
      <c r="M81" s="558"/>
      <c r="N81" s="558"/>
      <c r="O81" s="558">
        <v>15</v>
      </c>
      <c r="P81" s="558"/>
      <c r="Q81" s="558"/>
      <c r="R81" s="558"/>
      <c r="S81" s="558"/>
      <c r="T81" s="558"/>
      <c r="U81" s="560">
        <f t="shared" si="10"/>
        <v>0</v>
      </c>
      <c r="V81" s="561">
        <f t="shared" si="7"/>
        <v>0</v>
      </c>
    </row>
    <row r="82" spans="1:25" s="528" customFormat="1" ht="19.5" x14ac:dyDescent="0.3">
      <c r="A82" s="529">
        <v>75</v>
      </c>
      <c r="B82" s="534" t="s">
        <v>704</v>
      </c>
      <c r="C82" s="531">
        <v>30</v>
      </c>
      <c r="D82" s="532" t="s">
        <v>536</v>
      </c>
      <c r="E82" s="550">
        <v>25000</v>
      </c>
      <c r="F82" s="548">
        <f t="shared" si="8"/>
        <v>1153.6686663590217</v>
      </c>
      <c r="G82" s="551">
        <v>30</v>
      </c>
      <c r="H82" s="557">
        <f t="shared" si="9"/>
        <v>60</v>
      </c>
      <c r="I82" s="570"/>
      <c r="J82" s="570"/>
      <c r="K82" s="558"/>
      <c r="L82" s="558"/>
      <c r="M82" s="558"/>
      <c r="N82" s="558"/>
      <c r="O82" s="558"/>
      <c r="P82" s="558">
        <v>15</v>
      </c>
      <c r="Q82" s="558"/>
      <c r="R82" s="558"/>
      <c r="S82" s="558"/>
      <c r="T82" s="558"/>
      <c r="U82" s="560">
        <f t="shared" si="10"/>
        <v>45</v>
      </c>
      <c r="V82" s="561">
        <f t="shared" si="7"/>
        <v>51915.089986155974</v>
      </c>
    </row>
    <row r="83" spans="1:25" s="528" customFormat="1" ht="19.5" x14ac:dyDescent="0.3">
      <c r="A83" s="524">
        <v>76</v>
      </c>
      <c r="B83" s="530" t="s">
        <v>594</v>
      </c>
      <c r="C83" s="531">
        <v>5</v>
      </c>
      <c r="D83" s="532" t="s">
        <v>583</v>
      </c>
      <c r="E83" s="550">
        <v>34000</v>
      </c>
      <c r="F83" s="548">
        <f t="shared" si="8"/>
        <v>1568.9893862482693</v>
      </c>
      <c r="G83" s="551">
        <v>30</v>
      </c>
      <c r="H83" s="557">
        <f t="shared" si="9"/>
        <v>35</v>
      </c>
      <c r="I83" s="570"/>
      <c r="J83" s="570"/>
      <c r="K83" s="558"/>
      <c r="L83" s="558"/>
      <c r="M83" s="558"/>
      <c r="N83" s="571"/>
      <c r="O83" s="558"/>
      <c r="P83" s="558"/>
      <c r="Q83" s="558"/>
      <c r="R83" s="558"/>
      <c r="S83" s="558"/>
      <c r="T83" s="558"/>
      <c r="U83" s="560">
        <f t="shared" si="10"/>
        <v>35</v>
      </c>
      <c r="V83" s="561">
        <f t="shared" si="7"/>
        <v>54914.628518689424</v>
      </c>
    </row>
    <row r="84" spans="1:25" s="528" customFormat="1" ht="19.5" x14ac:dyDescent="0.3">
      <c r="A84" s="529">
        <v>77</v>
      </c>
      <c r="B84" s="530" t="s">
        <v>595</v>
      </c>
      <c r="C84" s="531">
        <v>10</v>
      </c>
      <c r="D84" s="532" t="s">
        <v>694</v>
      </c>
      <c r="E84" s="550">
        <v>55000</v>
      </c>
      <c r="F84" s="548">
        <f t="shared" si="8"/>
        <v>2538.0710659898477</v>
      </c>
      <c r="G84" s="551">
        <v>30</v>
      </c>
      <c r="H84" s="557">
        <f t="shared" si="9"/>
        <v>40</v>
      </c>
      <c r="I84" s="570">
        <v>1</v>
      </c>
      <c r="J84" s="570"/>
      <c r="K84" s="558"/>
      <c r="L84" s="558">
        <v>8</v>
      </c>
      <c r="M84" s="558"/>
      <c r="N84" s="571">
        <v>1</v>
      </c>
      <c r="O84" s="558"/>
      <c r="P84" s="558">
        <v>1</v>
      </c>
      <c r="Q84" s="558"/>
      <c r="R84" s="558"/>
      <c r="S84" s="558"/>
      <c r="T84" s="558"/>
      <c r="U84" s="560">
        <f t="shared" si="10"/>
        <v>29</v>
      </c>
      <c r="V84" s="561">
        <f t="shared" si="7"/>
        <v>73604.060913705587</v>
      </c>
    </row>
    <row r="85" spans="1:25" s="528" customFormat="1" ht="15.75" customHeight="1" x14ac:dyDescent="0.3">
      <c r="A85" s="529">
        <v>78</v>
      </c>
      <c r="B85" s="530" t="s">
        <v>705</v>
      </c>
      <c r="C85" s="531">
        <v>0</v>
      </c>
      <c r="D85" s="532" t="s">
        <v>583</v>
      </c>
      <c r="E85" s="550">
        <v>31500</v>
      </c>
      <c r="F85" s="548">
        <f t="shared" si="8"/>
        <v>1453.6225196123671</v>
      </c>
      <c r="G85" s="551">
        <v>15</v>
      </c>
      <c r="H85" s="557">
        <f t="shared" si="9"/>
        <v>15</v>
      </c>
      <c r="I85" s="570"/>
      <c r="J85" s="570"/>
      <c r="K85" s="558"/>
      <c r="L85" s="558"/>
      <c r="M85" s="558"/>
      <c r="N85" s="558"/>
      <c r="O85" s="558">
        <v>10</v>
      </c>
      <c r="P85" s="558"/>
      <c r="Q85" s="558"/>
      <c r="R85" s="558"/>
      <c r="S85" s="558"/>
      <c r="T85" s="558"/>
      <c r="U85" s="560">
        <f t="shared" si="10"/>
        <v>5</v>
      </c>
      <c r="V85" s="561">
        <f t="shared" si="7"/>
        <v>7268.1125980618353</v>
      </c>
    </row>
    <row r="86" spans="1:25" s="528" customFormat="1" ht="19.5" x14ac:dyDescent="0.3">
      <c r="A86" s="524">
        <v>79</v>
      </c>
      <c r="B86" s="530" t="s">
        <v>596</v>
      </c>
      <c r="C86" s="531">
        <v>6</v>
      </c>
      <c r="D86" s="532" t="s">
        <v>597</v>
      </c>
      <c r="E86" s="550">
        <v>400000</v>
      </c>
      <c r="F86" s="548">
        <f t="shared" si="8"/>
        <v>18458.698661744347</v>
      </c>
      <c r="G86" s="551">
        <v>30</v>
      </c>
      <c r="H86" s="557">
        <f t="shared" si="9"/>
        <v>36</v>
      </c>
      <c r="I86" s="570"/>
      <c r="J86" s="570"/>
      <c r="K86" s="558"/>
      <c r="L86" s="558"/>
      <c r="M86" s="558"/>
      <c r="N86" s="558"/>
      <c r="O86" s="558">
        <v>1</v>
      </c>
      <c r="P86" s="558">
        <v>10</v>
      </c>
      <c r="Q86" s="558"/>
      <c r="R86" s="558"/>
      <c r="S86" s="558"/>
      <c r="T86" s="558"/>
      <c r="U86" s="560">
        <f t="shared" si="10"/>
        <v>25</v>
      </c>
      <c r="V86" s="561">
        <f t="shared" si="7"/>
        <v>461467.46654360869</v>
      </c>
      <c r="Y86" s="528" t="s">
        <v>0</v>
      </c>
    </row>
    <row r="87" spans="1:25" s="528" customFormat="1" ht="19.5" x14ac:dyDescent="0.3">
      <c r="A87" s="529">
        <v>80</v>
      </c>
      <c r="B87" s="534" t="s">
        <v>598</v>
      </c>
      <c r="C87" s="531">
        <v>0</v>
      </c>
      <c r="D87" s="532" t="s">
        <v>307</v>
      </c>
      <c r="E87" s="550">
        <v>145000</v>
      </c>
      <c r="F87" s="548">
        <f t="shared" si="8"/>
        <v>6691.2782648823249</v>
      </c>
      <c r="G87" s="551">
        <v>30</v>
      </c>
      <c r="H87" s="557">
        <f t="shared" si="9"/>
        <v>30</v>
      </c>
      <c r="I87" s="570"/>
      <c r="J87" s="570">
        <v>1</v>
      </c>
      <c r="K87" s="558"/>
      <c r="L87" s="558"/>
      <c r="M87" s="558"/>
      <c r="N87" s="558">
        <v>14</v>
      </c>
      <c r="O87" s="558"/>
      <c r="P87" s="558"/>
      <c r="Q87" s="558">
        <v>1</v>
      </c>
      <c r="R87" s="558"/>
      <c r="S87" s="558"/>
      <c r="T87" s="558"/>
      <c r="U87" s="560">
        <f>H87-I87-J87-K87-L87-M87-N87-O87-P87-Q87-R87-S87-T87</f>
        <v>14</v>
      </c>
      <c r="V87" s="561">
        <f t="shared" si="7"/>
        <v>93677.895708352546</v>
      </c>
    </row>
    <row r="88" spans="1:25" s="528" customFormat="1" ht="19.5" x14ac:dyDescent="0.3">
      <c r="A88" s="529">
        <v>81</v>
      </c>
      <c r="B88" s="534" t="s">
        <v>599</v>
      </c>
      <c r="C88" s="531">
        <v>0</v>
      </c>
      <c r="D88" s="532" t="s">
        <v>532</v>
      </c>
      <c r="E88" s="550">
        <v>72600</v>
      </c>
      <c r="F88" s="548">
        <f t="shared" si="8"/>
        <v>3350.2538071065987</v>
      </c>
      <c r="G88" s="551">
        <v>30</v>
      </c>
      <c r="H88" s="557">
        <f t="shared" si="9"/>
        <v>30</v>
      </c>
      <c r="I88" s="570"/>
      <c r="J88" s="570"/>
      <c r="K88" s="558"/>
      <c r="L88" s="558"/>
      <c r="M88" s="558">
        <v>7</v>
      </c>
      <c r="N88" s="558">
        <v>1</v>
      </c>
      <c r="O88" s="558"/>
      <c r="P88" s="558"/>
      <c r="Q88" s="558"/>
      <c r="R88" s="558"/>
      <c r="S88" s="558"/>
      <c r="T88" s="558"/>
      <c r="U88" s="560">
        <f t="shared" si="10"/>
        <v>22</v>
      </c>
      <c r="V88" s="561">
        <f t="shared" si="7"/>
        <v>73705.583756345179</v>
      </c>
    </row>
    <row r="89" spans="1:25" s="528" customFormat="1" ht="19.5" x14ac:dyDescent="0.3">
      <c r="A89" s="524">
        <v>82</v>
      </c>
      <c r="B89" s="535" t="s">
        <v>600</v>
      </c>
      <c r="C89" s="531">
        <v>15</v>
      </c>
      <c r="D89" s="532" t="s">
        <v>536</v>
      </c>
      <c r="E89" s="550">
        <v>24000</v>
      </c>
      <c r="F89" s="548">
        <f t="shared" si="8"/>
        <v>1107.5219197046608</v>
      </c>
      <c r="G89" s="551">
        <v>15</v>
      </c>
      <c r="H89" s="557">
        <f t="shared" si="9"/>
        <v>30</v>
      </c>
      <c r="I89" s="570"/>
      <c r="J89" s="570">
        <v>13</v>
      </c>
      <c r="K89" s="558"/>
      <c r="L89" s="558"/>
      <c r="M89" s="558"/>
      <c r="N89" s="558"/>
      <c r="O89" s="558"/>
      <c r="P89" s="558"/>
      <c r="Q89" s="558">
        <v>2</v>
      </c>
      <c r="R89" s="558"/>
      <c r="S89" s="558"/>
      <c r="T89" s="558"/>
      <c r="U89" s="560">
        <f t="shared" si="10"/>
        <v>15</v>
      </c>
      <c r="V89" s="561">
        <f t="shared" si="7"/>
        <v>16612.828795569912</v>
      </c>
    </row>
    <row r="90" spans="1:25" s="528" customFormat="1" ht="19.5" x14ac:dyDescent="0.3">
      <c r="A90" s="529">
        <v>83</v>
      </c>
      <c r="B90" s="532" t="s">
        <v>706</v>
      </c>
      <c r="C90" s="531">
        <v>5</v>
      </c>
      <c r="D90" s="532" t="s">
        <v>601</v>
      </c>
      <c r="E90" s="550">
        <v>100000</v>
      </c>
      <c r="F90" s="548">
        <f>E90/21.67</f>
        <v>4614.6746654360868</v>
      </c>
      <c r="G90" s="551">
        <v>25</v>
      </c>
      <c r="H90" s="557">
        <f t="shared" si="9"/>
        <v>30</v>
      </c>
      <c r="I90" s="570"/>
      <c r="J90" s="570"/>
      <c r="K90" s="558"/>
      <c r="L90" s="558"/>
      <c r="M90" s="558">
        <v>15</v>
      </c>
      <c r="N90" s="558"/>
      <c r="O90" s="558">
        <v>5</v>
      </c>
      <c r="P90" s="558"/>
      <c r="Q90" s="558"/>
      <c r="R90" s="558"/>
      <c r="S90" s="558"/>
      <c r="T90" s="558"/>
      <c r="U90" s="560">
        <f t="shared" si="10"/>
        <v>10</v>
      </c>
      <c r="V90" s="561">
        <f t="shared" si="7"/>
        <v>46146.746654360868</v>
      </c>
    </row>
    <row r="91" spans="1:25" s="528" customFormat="1" ht="19.5" x14ac:dyDescent="0.3">
      <c r="A91" s="529">
        <v>84</v>
      </c>
      <c r="B91" s="532" t="s">
        <v>602</v>
      </c>
      <c r="C91" s="531">
        <v>20</v>
      </c>
      <c r="D91" s="532" t="s">
        <v>562</v>
      </c>
      <c r="E91" s="550">
        <v>75000</v>
      </c>
      <c r="F91" s="548">
        <f>E91/21.67</f>
        <v>3461.0059990770646</v>
      </c>
      <c r="G91" s="551">
        <v>30</v>
      </c>
      <c r="H91" s="557">
        <f t="shared" si="9"/>
        <v>50</v>
      </c>
      <c r="I91" s="570"/>
      <c r="J91" s="570"/>
      <c r="K91" s="558"/>
      <c r="L91" s="558"/>
      <c r="M91" s="558"/>
      <c r="N91" s="558"/>
      <c r="O91" s="558"/>
      <c r="P91" s="558"/>
      <c r="Q91" s="558"/>
      <c r="R91" s="558"/>
      <c r="S91" s="558"/>
      <c r="T91" s="558"/>
      <c r="U91" s="560">
        <f t="shared" si="10"/>
        <v>50</v>
      </c>
      <c r="V91" s="561">
        <f t="shared" si="7"/>
        <v>173050.29995385325</v>
      </c>
    </row>
    <row r="92" spans="1:25" s="528" customFormat="1" ht="19.5" x14ac:dyDescent="0.3">
      <c r="A92" s="524">
        <v>85</v>
      </c>
      <c r="B92" s="532" t="s">
        <v>603</v>
      </c>
      <c r="C92" s="531">
        <v>0</v>
      </c>
      <c r="D92" s="532" t="s">
        <v>604</v>
      </c>
      <c r="E92" s="550">
        <v>185000</v>
      </c>
      <c r="F92" s="548">
        <f t="shared" ref="F92:F97" si="11">E92/21.67</f>
        <v>8537.1481310567597</v>
      </c>
      <c r="G92" s="551">
        <v>30</v>
      </c>
      <c r="H92" s="557">
        <f t="shared" si="9"/>
        <v>30</v>
      </c>
      <c r="I92" s="570"/>
      <c r="J92" s="570"/>
      <c r="K92" s="558"/>
      <c r="L92" s="558"/>
      <c r="M92" s="558">
        <v>6</v>
      </c>
      <c r="N92" s="558"/>
      <c r="O92" s="558"/>
      <c r="P92" s="558"/>
      <c r="Q92" s="558">
        <v>6</v>
      </c>
      <c r="R92" s="558"/>
      <c r="S92" s="558"/>
      <c r="T92" s="558"/>
      <c r="U92" s="560">
        <f t="shared" si="10"/>
        <v>18</v>
      </c>
      <c r="V92" s="561">
        <f t="shared" si="7"/>
        <v>153668.66635902168</v>
      </c>
    </row>
    <row r="93" spans="1:25" s="528" customFormat="1" ht="19.5" x14ac:dyDescent="0.3">
      <c r="A93" s="529">
        <v>86</v>
      </c>
      <c r="B93" s="532" t="s">
        <v>605</v>
      </c>
      <c r="C93" s="531">
        <v>9</v>
      </c>
      <c r="D93" s="532" t="s">
        <v>536</v>
      </c>
      <c r="E93" s="550">
        <v>25000</v>
      </c>
      <c r="F93" s="548">
        <f t="shared" si="11"/>
        <v>1153.6686663590217</v>
      </c>
      <c r="G93" s="551">
        <v>15</v>
      </c>
      <c r="H93" s="557">
        <f t="shared" si="9"/>
        <v>24</v>
      </c>
      <c r="I93" s="570"/>
      <c r="J93" s="570"/>
      <c r="K93" s="558"/>
      <c r="L93" s="558"/>
      <c r="M93" s="558"/>
      <c r="N93" s="558"/>
      <c r="O93" s="558"/>
      <c r="P93" s="558">
        <v>4</v>
      </c>
      <c r="Q93" s="558"/>
      <c r="R93" s="558"/>
      <c r="S93" s="558"/>
      <c r="T93" s="558"/>
      <c r="U93" s="560">
        <f t="shared" si="10"/>
        <v>20</v>
      </c>
      <c r="V93" s="561">
        <f t="shared" si="7"/>
        <v>23073.373327180434</v>
      </c>
    </row>
    <row r="94" spans="1:25" s="528" customFormat="1" ht="19.5" x14ac:dyDescent="0.3">
      <c r="A94" s="529">
        <v>87</v>
      </c>
      <c r="B94" s="539" t="s">
        <v>707</v>
      </c>
      <c r="C94" s="533">
        <v>0</v>
      </c>
      <c r="D94" s="532" t="s">
        <v>708</v>
      </c>
      <c r="E94" s="532">
        <v>24000</v>
      </c>
      <c r="F94" s="548">
        <f t="shared" si="11"/>
        <v>1107.5219197046608</v>
      </c>
      <c r="G94" s="552">
        <v>15</v>
      </c>
      <c r="H94" s="557">
        <f t="shared" si="9"/>
        <v>15</v>
      </c>
      <c r="I94" s="558"/>
      <c r="J94" s="558"/>
      <c r="K94" s="559"/>
      <c r="L94" s="559"/>
      <c r="M94" s="559"/>
      <c r="N94" s="559"/>
      <c r="O94" s="559">
        <v>12</v>
      </c>
      <c r="P94" s="559"/>
      <c r="Q94" s="559"/>
      <c r="R94" s="559"/>
      <c r="S94" s="559"/>
      <c r="T94" s="559"/>
      <c r="U94" s="560">
        <f t="shared" si="10"/>
        <v>3</v>
      </c>
      <c r="V94" s="561">
        <f t="shared" si="7"/>
        <v>3322.5657591139825</v>
      </c>
      <c r="W94"/>
      <c r="X94"/>
    </row>
    <row r="95" spans="1:25" s="528" customFormat="1" ht="19.5" x14ac:dyDescent="0.3">
      <c r="A95" s="529">
        <v>88</v>
      </c>
      <c r="B95" s="532" t="s">
        <v>606</v>
      </c>
      <c r="C95" s="533">
        <v>5</v>
      </c>
      <c r="D95" s="532" t="s">
        <v>543</v>
      </c>
      <c r="E95" s="532">
        <v>32500</v>
      </c>
      <c r="F95" s="548">
        <f t="shared" si="11"/>
        <v>1499.769266266728</v>
      </c>
      <c r="G95" s="552">
        <v>30</v>
      </c>
      <c r="H95" s="557">
        <f t="shared" si="9"/>
        <v>35</v>
      </c>
      <c r="I95" s="558"/>
      <c r="J95" s="558"/>
      <c r="K95" s="559"/>
      <c r="L95" s="559">
        <v>4</v>
      </c>
      <c r="M95" s="559"/>
      <c r="N95" s="559"/>
      <c r="O95" s="559">
        <v>15</v>
      </c>
      <c r="P95" s="559"/>
      <c r="Q95" s="559"/>
      <c r="R95" s="559"/>
      <c r="S95" s="559"/>
      <c r="T95" s="559"/>
      <c r="U95" s="560">
        <f t="shared" si="10"/>
        <v>16</v>
      </c>
      <c r="V95" s="561">
        <f t="shared" si="7"/>
        <v>23996.308260267648</v>
      </c>
      <c r="W95"/>
      <c r="X95"/>
    </row>
    <row r="96" spans="1:25" ht="19.5" x14ac:dyDescent="0.3">
      <c r="A96" s="529">
        <v>89</v>
      </c>
      <c r="B96" s="540" t="s">
        <v>607</v>
      </c>
      <c r="C96" s="541">
        <v>7</v>
      </c>
      <c r="D96" s="539" t="s">
        <v>545</v>
      </c>
      <c r="E96" s="539">
        <v>30000</v>
      </c>
      <c r="F96" s="548">
        <f t="shared" si="11"/>
        <v>1384.4023996308258</v>
      </c>
      <c r="G96" s="553">
        <v>15</v>
      </c>
      <c r="H96" s="557">
        <f t="shared" si="9"/>
        <v>22</v>
      </c>
      <c r="I96" s="570">
        <v>1</v>
      </c>
      <c r="J96" s="570"/>
      <c r="K96" s="559"/>
      <c r="L96" s="559">
        <v>1</v>
      </c>
      <c r="M96" s="559"/>
      <c r="N96" s="559"/>
      <c r="O96" s="559"/>
      <c r="P96" s="559"/>
      <c r="Q96" s="559"/>
      <c r="R96" s="559"/>
      <c r="S96" s="559"/>
      <c r="T96" s="559"/>
      <c r="U96" s="560">
        <f t="shared" si="10"/>
        <v>20</v>
      </c>
      <c r="V96" s="561">
        <f t="shared" si="7"/>
        <v>27688.047992616517</v>
      </c>
    </row>
    <row r="97" spans="1:41" ht="19.5" x14ac:dyDescent="0.3">
      <c r="A97" s="529">
        <v>90</v>
      </c>
      <c r="B97" s="540" t="s">
        <v>608</v>
      </c>
      <c r="C97" s="541">
        <v>1</v>
      </c>
      <c r="D97" s="539" t="s">
        <v>540</v>
      </c>
      <c r="E97" s="539">
        <v>95000</v>
      </c>
      <c r="F97" s="548">
        <f t="shared" si="11"/>
        <v>4383.9409321642825</v>
      </c>
      <c r="G97" s="553">
        <v>25</v>
      </c>
      <c r="H97" s="557">
        <f t="shared" si="9"/>
        <v>26</v>
      </c>
      <c r="I97" s="572"/>
      <c r="J97" s="572"/>
      <c r="K97" s="559"/>
      <c r="L97" s="559">
        <v>6</v>
      </c>
      <c r="M97" s="559"/>
      <c r="N97" s="559"/>
      <c r="O97" s="559"/>
      <c r="P97" s="559"/>
      <c r="Q97" s="559"/>
      <c r="R97" s="559"/>
      <c r="S97" s="559"/>
      <c r="T97" s="559"/>
      <c r="U97" s="560">
        <f t="shared" si="10"/>
        <v>20</v>
      </c>
      <c r="V97" s="561">
        <f t="shared" si="7"/>
        <v>87678.818643285646</v>
      </c>
    </row>
    <row r="98" spans="1:41" ht="18.75" x14ac:dyDescent="0.25">
      <c r="T98" s="562"/>
      <c r="U98" s="562"/>
      <c r="V98" s="562"/>
    </row>
    <row r="99" spans="1:41" ht="18.75" x14ac:dyDescent="0.25">
      <c r="T99" s="562"/>
      <c r="U99" s="562"/>
      <c r="V99" s="563">
        <f>SUM(V8:V98)</f>
        <v>7894914.6285186885</v>
      </c>
    </row>
    <row r="100" spans="1:41" ht="18.75" x14ac:dyDescent="0.25">
      <c r="T100" s="562"/>
      <c r="U100" s="562"/>
      <c r="V100" s="564" t="s">
        <v>855</v>
      </c>
    </row>
    <row r="101" spans="1:41" ht="18.75" x14ac:dyDescent="0.25">
      <c r="T101" s="562"/>
      <c r="U101" s="562"/>
      <c r="V101" s="563">
        <f>+V99/12</f>
        <v>657909.55237655737</v>
      </c>
    </row>
    <row r="102" spans="1:41" ht="6.75" customHeight="1" x14ac:dyDescent="0.25">
      <c r="T102" s="562"/>
      <c r="U102" s="563"/>
      <c r="V102" s="563"/>
      <c r="W102" s="554"/>
      <c r="X102" s="554"/>
    </row>
    <row r="103" spans="1:41" ht="18.75" x14ac:dyDescent="0.25">
      <c r="T103" s="567" t="s">
        <v>858</v>
      </c>
      <c r="U103" s="562"/>
      <c r="V103" s="563">
        <v>955395</v>
      </c>
      <c r="W103" s="554"/>
      <c r="X103" s="554"/>
    </row>
    <row r="104" spans="1:41" ht="21" x14ac:dyDescent="0.4">
      <c r="T104" s="567" t="s">
        <v>859</v>
      </c>
      <c r="U104" s="563"/>
      <c r="V104" s="565">
        <v>345762</v>
      </c>
      <c r="W104" s="554"/>
      <c r="X104" s="554"/>
    </row>
    <row r="105" spans="1:41" ht="21" x14ac:dyDescent="0.4">
      <c r="T105" s="563" t="s">
        <v>860</v>
      </c>
      <c r="U105" s="563"/>
      <c r="V105" s="566">
        <f>+V101-V103-V104</f>
        <v>-643247.44762344263</v>
      </c>
      <c r="W105" s="554"/>
      <c r="X105" s="554"/>
    </row>
    <row r="106" spans="1:41" x14ac:dyDescent="0.2">
      <c r="U106" s="554"/>
      <c r="V106" s="554"/>
      <c r="W106" s="554"/>
      <c r="X106" s="554"/>
    </row>
    <row r="107" spans="1:41" s="516" customFormat="1" x14ac:dyDescent="0.2">
      <c r="A107" s="513"/>
      <c r="B107" s="513"/>
      <c r="D107"/>
      <c r="E107"/>
      <c r="F107"/>
      <c r="G107"/>
      <c r="H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s="516" customFormat="1" x14ac:dyDescent="0.2">
      <c r="A108" s="513"/>
      <c r="B108" s="513"/>
      <c r="D108"/>
      <c r="E108"/>
      <c r="F108"/>
      <c r="G108"/>
      <c r="H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:41" s="516" customFormat="1" x14ac:dyDescent="0.2">
      <c r="A109" s="513"/>
      <c r="B109" s="513"/>
      <c r="D109"/>
      <c r="E109"/>
      <c r="F109"/>
      <c r="G109"/>
      <c r="H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:41" s="516" customFormat="1" x14ac:dyDescent="0.2">
      <c r="A110" s="513"/>
      <c r="B110" s="513"/>
      <c r="D110"/>
      <c r="E110"/>
      <c r="F110"/>
      <c r="G110"/>
      <c r="H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41" s="516" customFormat="1" x14ac:dyDescent="0.2">
      <c r="A111" s="513"/>
      <c r="B111" s="513"/>
      <c r="D111"/>
      <c r="E111"/>
      <c r="F111"/>
      <c r="G111"/>
      <c r="H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:41" s="516" customFormat="1" x14ac:dyDescent="0.2">
      <c r="A112" s="513"/>
      <c r="B112" s="513"/>
      <c r="D112"/>
      <c r="E112"/>
      <c r="F112"/>
      <c r="G112"/>
      <c r="H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1:41" s="516" customFormat="1" x14ac:dyDescent="0.2">
      <c r="A113" s="513"/>
      <c r="B113" s="513"/>
      <c r="D113"/>
      <c r="E113"/>
      <c r="F113"/>
      <c r="G113"/>
      <c r="H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1:41" s="516" customFormat="1" x14ac:dyDescent="0.2">
      <c r="A114" s="513"/>
      <c r="B114" s="513"/>
      <c r="D114"/>
      <c r="E114"/>
      <c r="F114"/>
      <c r="G114"/>
      <c r="H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</sheetData>
  <conditionalFormatting sqref="C9:C14 C18:C23 C25:C26 C28 C30:C33 C37:C38 C41 C43 C47:C48 C50:C62 C65:C72 C74 C76 C82:C93">
    <cfRule type="cellIs" dxfId="0" priority="1" operator="equal">
      <formula>0</formula>
    </cfRule>
  </conditionalFormatting>
  <pageMargins left="0.70866141732283472" right="0.39370078740157483" top="0.35433070866141736" bottom="0.19685039370078741" header="0.31496062992125984" footer="0.39370078740157483"/>
  <pageSetup scale="28" orientation="landscape" horizont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A020-B7FC-4810-BA6C-C89B01CB0D08}">
  <sheetPr codeName="Hoja33"/>
  <dimension ref="A2:I58"/>
  <sheetViews>
    <sheetView topLeftCell="A20" zoomScaleNormal="100" workbookViewId="0">
      <selection activeCell="A21" sqref="A21:B44"/>
    </sheetView>
  </sheetViews>
  <sheetFormatPr baseColWidth="10" defaultColWidth="11.42578125" defaultRowHeight="24.75" customHeight="1" x14ac:dyDescent="0.2"/>
  <cols>
    <col min="1" max="1" width="61.85546875" style="4" customWidth="1"/>
    <col min="2" max="2" width="23.7109375" style="4" customWidth="1"/>
    <col min="3" max="3" width="15.28515625" style="4" bestFit="1" customWidth="1"/>
    <col min="4" max="4" width="29.5703125" style="4" customWidth="1"/>
    <col min="5" max="5" width="16.42578125" style="29" bestFit="1" customWidth="1"/>
    <col min="6" max="7" width="13.85546875" style="29" customWidth="1"/>
    <col min="8" max="9" width="11.42578125" style="29"/>
    <col min="10" max="16384" width="11.42578125" style="4"/>
  </cols>
  <sheetData>
    <row r="2" spans="1:4" ht="24.75" customHeight="1" x14ac:dyDescent="0.25">
      <c r="A2" s="40"/>
      <c r="B2" s="40"/>
    </row>
    <row r="3" spans="1:4" ht="24.75" customHeight="1" x14ac:dyDescent="0.25">
      <c r="A3" s="40"/>
      <c r="B3" s="40"/>
    </row>
    <row r="4" spans="1:4" ht="24.75" customHeight="1" x14ac:dyDescent="0.25">
      <c r="A4" s="632" t="s">
        <v>497</v>
      </c>
      <c r="B4" s="632"/>
    </row>
    <row r="5" spans="1:4" ht="24.75" customHeight="1" x14ac:dyDescent="0.25">
      <c r="A5" s="632" t="s">
        <v>223</v>
      </c>
      <c r="B5" s="632"/>
    </row>
    <row r="6" spans="1:4" ht="24.75" customHeight="1" x14ac:dyDescent="0.25">
      <c r="A6" s="632" t="s">
        <v>498</v>
      </c>
      <c r="B6" s="632"/>
    </row>
    <row r="7" spans="1:4" ht="24.75" customHeight="1" x14ac:dyDescent="0.25">
      <c r="A7" s="648">
        <v>45930</v>
      </c>
      <c r="B7" s="648"/>
    </row>
    <row r="8" spans="1:4" ht="24.75" customHeight="1" thickBot="1" x14ac:dyDescent="0.3">
      <c r="A8" s="119"/>
    </row>
    <row r="9" spans="1:4" ht="24.75" customHeight="1" thickBot="1" x14ac:dyDescent="0.3">
      <c r="A9" s="217" t="s">
        <v>215</v>
      </c>
      <c r="B9" s="206" t="s">
        <v>226</v>
      </c>
    </row>
    <row r="10" spans="1:4" ht="24.75" customHeight="1" x14ac:dyDescent="0.2">
      <c r="A10" s="218" t="s">
        <v>499</v>
      </c>
      <c r="B10" s="475">
        <v>304977.28999999998</v>
      </c>
    </row>
    <row r="11" spans="1:4" ht="24.6" customHeight="1" x14ac:dyDescent="0.2">
      <c r="A11" s="127" t="s">
        <v>889</v>
      </c>
      <c r="B11" s="473">
        <v>1671826.66</v>
      </c>
    </row>
    <row r="12" spans="1:4" ht="24.75" hidden="1" customHeight="1" x14ac:dyDescent="0.2">
      <c r="A12" s="127" t="s">
        <v>710</v>
      </c>
      <c r="B12" s="473"/>
    </row>
    <row r="13" spans="1:4" ht="24.75" customHeight="1" x14ac:dyDescent="0.2">
      <c r="A13" s="127" t="s">
        <v>500</v>
      </c>
      <c r="B13" s="473">
        <v>90454.69</v>
      </c>
    </row>
    <row r="14" spans="1:4" ht="24.75" customHeight="1" x14ac:dyDescent="0.2">
      <c r="A14" s="127" t="s">
        <v>501</v>
      </c>
      <c r="B14" s="374">
        <v>1157.2</v>
      </c>
    </row>
    <row r="15" spans="1:4" ht="24.75" customHeight="1" x14ac:dyDescent="0.35">
      <c r="A15" s="127" t="s">
        <v>502</v>
      </c>
      <c r="B15" s="437">
        <v>11572.02</v>
      </c>
      <c r="D15" s="29"/>
    </row>
    <row r="16" spans="1:4" ht="24.75" customHeight="1" x14ac:dyDescent="0.4">
      <c r="A16" s="132" t="s">
        <v>286</v>
      </c>
      <c r="B16" s="438">
        <f>SUM(B10:B15)</f>
        <v>2079987.8599999999</v>
      </c>
      <c r="D16" s="21"/>
    </row>
    <row r="17" spans="1:3" ht="24.75" customHeight="1" thickBot="1" x14ac:dyDescent="0.3">
      <c r="A17" s="157"/>
      <c r="B17" s="439"/>
    </row>
    <row r="18" spans="1:3" ht="24.75" customHeight="1" x14ac:dyDescent="0.25">
      <c r="A18" s="40"/>
      <c r="B18" s="40"/>
    </row>
    <row r="19" spans="1:3" ht="24.75" customHeight="1" x14ac:dyDescent="0.25">
      <c r="A19" s="40"/>
      <c r="B19" s="282"/>
      <c r="C19" s="21"/>
    </row>
    <row r="20" spans="1:3" ht="24.75" customHeight="1" x14ac:dyDescent="0.25">
      <c r="A20" s="40"/>
      <c r="B20" s="282"/>
      <c r="C20" s="21"/>
    </row>
    <row r="21" spans="1:3" ht="24.75" customHeight="1" x14ac:dyDescent="0.25">
      <c r="A21" s="40"/>
      <c r="B21" s="282" t="s">
        <v>0</v>
      </c>
      <c r="C21" s="21"/>
    </row>
    <row r="22" spans="1:3" ht="24.75" customHeight="1" x14ac:dyDescent="0.25">
      <c r="A22" s="40"/>
      <c r="B22" s="282"/>
      <c r="C22" s="21"/>
    </row>
    <row r="23" spans="1:3" ht="24.75" customHeight="1" x14ac:dyDescent="0.25">
      <c r="A23" s="40"/>
      <c r="B23" s="282"/>
      <c r="C23" s="21"/>
    </row>
    <row r="24" spans="1:3" ht="24.75" customHeight="1" x14ac:dyDescent="0.25">
      <c r="A24" s="632" t="str">
        <f>+A4</f>
        <v>NOTA 12</v>
      </c>
      <c r="B24" s="632"/>
    </row>
    <row r="25" spans="1:3" ht="24.75" customHeight="1" x14ac:dyDescent="0.25">
      <c r="A25" s="632" t="str">
        <f>+A5</f>
        <v>Cédula de detalle de cuentas</v>
      </c>
      <c r="B25" s="632"/>
    </row>
    <row r="26" spans="1:3" ht="24.75" customHeight="1" x14ac:dyDescent="0.25">
      <c r="A26" s="632" t="s">
        <v>501</v>
      </c>
      <c r="B26" s="632"/>
    </row>
    <row r="27" spans="1:3" ht="24.75" customHeight="1" x14ac:dyDescent="0.25">
      <c r="A27" s="648">
        <f>+A7</f>
        <v>45930</v>
      </c>
      <c r="B27" s="648"/>
    </row>
    <row r="28" spans="1:3" ht="24.75" customHeight="1" thickBot="1" x14ac:dyDescent="0.3">
      <c r="A28" s="119"/>
    </row>
    <row r="29" spans="1:3" ht="22.15" customHeight="1" thickBot="1" x14ac:dyDescent="0.3">
      <c r="A29" s="121" t="s">
        <v>215</v>
      </c>
      <c r="B29" s="123" t="s">
        <v>226</v>
      </c>
    </row>
    <row r="30" spans="1:3" ht="24" customHeight="1" x14ac:dyDescent="0.35">
      <c r="A30" s="124" t="s">
        <v>279</v>
      </c>
      <c r="B30" s="301">
        <v>1157.2</v>
      </c>
    </row>
    <row r="31" spans="1:3" ht="24" customHeight="1" x14ac:dyDescent="0.4">
      <c r="A31" s="497" t="s">
        <v>286</v>
      </c>
      <c r="B31" s="302">
        <f>SUM(B30:B30)</f>
        <v>1157.2</v>
      </c>
    </row>
    <row r="32" spans="1:3" ht="24.75" customHeight="1" thickBot="1" x14ac:dyDescent="0.25">
      <c r="A32" s="135"/>
      <c r="B32" s="396">
        <f>+B14-B31</f>
        <v>0</v>
      </c>
    </row>
    <row r="33" spans="1:5" ht="24.75" customHeight="1" x14ac:dyDescent="0.2">
      <c r="B33" s="440"/>
    </row>
    <row r="34" spans="1:5" ht="24.75" customHeight="1" x14ac:dyDescent="0.25">
      <c r="A34" s="40"/>
      <c r="B34" s="40"/>
    </row>
    <row r="35" spans="1:5" ht="24.75" customHeight="1" x14ac:dyDescent="0.25">
      <c r="A35" s="632" t="str">
        <f>+A4</f>
        <v>NOTA 12</v>
      </c>
      <c r="B35" s="632"/>
      <c r="D35" s="29"/>
    </row>
    <row r="36" spans="1:5" ht="24.75" customHeight="1" x14ac:dyDescent="0.25">
      <c r="A36" s="632" t="str">
        <f>+A5</f>
        <v>Cédula de detalle de cuentas</v>
      </c>
      <c r="B36" s="632"/>
      <c r="D36" s="29"/>
    </row>
    <row r="37" spans="1:5" ht="24.75" customHeight="1" x14ac:dyDescent="0.25">
      <c r="A37" s="632" t="s">
        <v>502</v>
      </c>
      <c r="B37" s="632"/>
      <c r="D37" s="29"/>
    </row>
    <row r="38" spans="1:5" ht="24.75" customHeight="1" x14ac:dyDescent="0.25">
      <c r="A38" s="648">
        <f>+A7</f>
        <v>45930</v>
      </c>
      <c r="B38" s="648"/>
      <c r="D38" s="29"/>
    </row>
    <row r="39" spans="1:5" ht="24.75" customHeight="1" thickBot="1" x14ac:dyDescent="0.3">
      <c r="A39" s="119"/>
      <c r="B39" s="28"/>
      <c r="D39" s="29"/>
    </row>
    <row r="40" spans="1:5" ht="21" customHeight="1" thickBot="1" x14ac:dyDescent="0.3">
      <c r="A40" s="121" t="s">
        <v>215</v>
      </c>
      <c r="B40" s="123" t="s">
        <v>226</v>
      </c>
      <c r="D40" s="29"/>
    </row>
    <row r="41" spans="1:5" ht="21" customHeight="1" x14ac:dyDescent="0.35">
      <c r="A41" s="124" t="s">
        <v>279</v>
      </c>
      <c r="B41" s="301">
        <v>11572.02</v>
      </c>
      <c r="D41" s="29"/>
    </row>
    <row r="42" spans="1:5" ht="22.9" customHeight="1" x14ac:dyDescent="0.4">
      <c r="A42" s="497" t="s">
        <v>286</v>
      </c>
      <c r="B42" s="302">
        <f>SUM(B41:B41)</f>
        <v>11572.02</v>
      </c>
      <c r="D42" s="29"/>
    </row>
    <row r="43" spans="1:5" ht="24.75" customHeight="1" thickBot="1" x14ac:dyDescent="0.25">
      <c r="A43" s="135"/>
      <c r="B43" s="396">
        <f>+B15-B42</f>
        <v>0</v>
      </c>
      <c r="D43" s="29"/>
    </row>
    <row r="44" spans="1:5" ht="24.75" customHeight="1" x14ac:dyDescent="0.2">
      <c r="B44" s="440"/>
      <c r="D44" s="29"/>
    </row>
    <row r="45" spans="1:5" ht="24.75" customHeight="1" x14ac:dyDescent="0.25">
      <c r="A45" s="40"/>
      <c r="B45" s="40"/>
      <c r="D45" s="243"/>
      <c r="E45" s="243"/>
    </row>
    <row r="46" spans="1:5" ht="24.75" customHeight="1" x14ac:dyDescent="0.2">
      <c r="D46" s="243"/>
    </row>
    <row r="47" spans="1:5" ht="24.75" customHeight="1" x14ac:dyDescent="0.25">
      <c r="A47" s="40"/>
      <c r="B47" s="40"/>
      <c r="D47" s="243"/>
      <c r="E47" s="243"/>
    </row>
    <row r="48" spans="1:5" ht="24.75" customHeight="1" x14ac:dyDescent="0.25">
      <c r="A48" s="632" t="s">
        <v>497</v>
      </c>
      <c r="B48" s="632"/>
      <c r="D48" s="29"/>
    </row>
    <row r="49" spans="1:4" ht="24.75" customHeight="1" x14ac:dyDescent="0.25">
      <c r="A49" s="632" t="s">
        <v>223</v>
      </c>
      <c r="B49" s="632"/>
      <c r="D49" s="29"/>
    </row>
    <row r="50" spans="1:4" ht="24.75" customHeight="1" x14ac:dyDescent="0.25">
      <c r="A50" s="632" t="s">
        <v>709</v>
      </c>
      <c r="B50" s="632"/>
      <c r="D50" s="29"/>
    </row>
    <row r="51" spans="1:4" ht="24.75" customHeight="1" x14ac:dyDescent="0.25">
      <c r="A51" s="648">
        <f>+A7</f>
        <v>45930</v>
      </c>
      <c r="B51" s="648"/>
    </row>
    <row r="52" spans="1:4" ht="24.75" customHeight="1" thickBot="1" x14ac:dyDescent="0.3">
      <c r="A52" s="119"/>
      <c r="B52" s="28"/>
    </row>
    <row r="53" spans="1:4" ht="24.75" customHeight="1" thickBot="1" x14ac:dyDescent="0.3">
      <c r="A53" s="121" t="s">
        <v>215</v>
      </c>
      <c r="B53" s="123" t="s">
        <v>226</v>
      </c>
    </row>
    <row r="54" spans="1:4" ht="24.75" customHeight="1" x14ac:dyDescent="0.2">
      <c r="A54" s="124"/>
      <c r="B54" s="300"/>
    </row>
    <row r="55" spans="1:4" ht="24.75" customHeight="1" x14ac:dyDescent="0.35">
      <c r="A55" s="124"/>
      <c r="B55" s="301"/>
    </row>
    <row r="56" spans="1:4" ht="24.75" customHeight="1" x14ac:dyDescent="0.4">
      <c r="A56" s="127"/>
      <c r="B56" s="302">
        <f>SUM(B54:B55)</f>
        <v>0</v>
      </c>
      <c r="D56" s="21"/>
    </row>
    <row r="57" spans="1:4" ht="24.75" customHeight="1" thickBot="1" x14ac:dyDescent="0.3">
      <c r="A57" s="135"/>
      <c r="B57" s="441"/>
    </row>
    <row r="58" spans="1:4" ht="24.75" customHeight="1" x14ac:dyDescent="0.2">
      <c r="B58" s="440"/>
    </row>
  </sheetData>
  <mergeCells count="16">
    <mergeCell ref="A51:B51"/>
    <mergeCell ref="A49:B49"/>
    <mergeCell ref="A48:B48"/>
    <mergeCell ref="A50:B50"/>
    <mergeCell ref="A4:B4"/>
    <mergeCell ref="A5:B5"/>
    <mergeCell ref="A6:B6"/>
    <mergeCell ref="A7:B7"/>
    <mergeCell ref="A35:B35"/>
    <mergeCell ref="A36:B36"/>
    <mergeCell ref="A37:B37"/>
    <mergeCell ref="A38:B38"/>
    <mergeCell ref="A24:B24"/>
    <mergeCell ref="A25:B25"/>
    <mergeCell ref="A26:B26"/>
    <mergeCell ref="A27:B27"/>
  </mergeCells>
  <pageMargins left="0.9055118110236221" right="0.70866141732283472" top="0.74803149606299213" bottom="0.74803149606299213" header="0.31496062992125984" footer="0.31496062992125984"/>
  <pageSetup orientation="portrait" r:id="rId1"/>
  <rowBreaks count="1" manualBreakCount="1">
    <brk id="20" max="1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4"/>
  <dimension ref="A2:D17"/>
  <sheetViews>
    <sheetView zoomScaleNormal="100" workbookViewId="0">
      <selection activeCell="D11" sqref="D11"/>
    </sheetView>
  </sheetViews>
  <sheetFormatPr baseColWidth="10" defaultColWidth="9.140625" defaultRowHeight="24.75" customHeight="1" x14ac:dyDescent="0.2"/>
  <cols>
    <col min="1" max="1" width="45.7109375" style="4" customWidth="1"/>
    <col min="2" max="2" width="23.42578125" style="4" customWidth="1"/>
    <col min="3" max="3" width="9.140625" style="4"/>
    <col min="4" max="4" width="19" style="4" bestFit="1" customWidth="1"/>
    <col min="5" max="16384" width="9.140625" style="4"/>
  </cols>
  <sheetData>
    <row r="2" spans="1:4" ht="24.75" customHeight="1" x14ac:dyDescent="0.25">
      <c r="A2" s="632"/>
      <c r="B2" s="632"/>
    </row>
    <row r="3" spans="1:4" ht="24.75" customHeight="1" x14ac:dyDescent="0.25">
      <c r="A3" s="632" t="s">
        <v>503</v>
      </c>
      <c r="B3" s="632"/>
    </row>
    <row r="4" spans="1:4" ht="24.75" customHeight="1" x14ac:dyDescent="0.25">
      <c r="A4" s="632" t="s">
        <v>223</v>
      </c>
      <c r="B4" s="632"/>
    </row>
    <row r="5" spans="1:4" ht="24.75" customHeight="1" x14ac:dyDescent="0.25">
      <c r="A5" s="632" t="s">
        <v>504</v>
      </c>
      <c r="B5" s="632"/>
    </row>
    <row r="6" spans="1:4" ht="24.75" customHeight="1" x14ac:dyDescent="0.25">
      <c r="A6" s="648">
        <v>45930</v>
      </c>
      <c r="B6" s="648"/>
    </row>
    <row r="7" spans="1:4" ht="24.75" customHeight="1" thickBot="1" x14ac:dyDescent="0.25"/>
    <row r="8" spans="1:4" ht="24.75" customHeight="1" thickBot="1" x14ac:dyDescent="0.3">
      <c r="A8" s="121" t="s">
        <v>215</v>
      </c>
      <c r="B8" s="123" t="s">
        <v>226</v>
      </c>
      <c r="D8" s="26"/>
    </row>
    <row r="9" spans="1:4" ht="19.899999999999999" customHeight="1" x14ac:dyDescent="0.25">
      <c r="A9" s="201" t="s">
        <v>636</v>
      </c>
      <c r="B9" s="476">
        <v>70608221.019999996</v>
      </c>
      <c r="D9" s="467"/>
    </row>
    <row r="10" spans="1:4" ht="21" customHeight="1" x14ac:dyDescent="0.4">
      <c r="A10" s="304" t="s">
        <v>420</v>
      </c>
      <c r="B10" s="152">
        <f>SUM(B9:B9)</f>
        <v>70608221.019999996</v>
      </c>
      <c r="D10" s="442"/>
    </row>
    <row r="11" spans="1:4" ht="24.75" customHeight="1" x14ac:dyDescent="0.25">
      <c r="A11" s="191"/>
      <c r="B11" s="191"/>
      <c r="D11" s="576"/>
    </row>
    <row r="13" spans="1:4" ht="24.75" customHeight="1" x14ac:dyDescent="0.2">
      <c r="B13" s="443"/>
      <c r="C13" s="30"/>
    </row>
    <row r="14" spans="1:4" ht="24.75" customHeight="1" x14ac:dyDescent="0.2">
      <c r="B14" s="29"/>
    </row>
    <row r="15" spans="1:4" ht="24.75" customHeight="1" x14ac:dyDescent="0.2">
      <c r="B15" s="29"/>
    </row>
    <row r="17" spans="1:2" ht="24.75" customHeight="1" x14ac:dyDescent="0.25">
      <c r="A17" s="632"/>
      <c r="B17" s="632"/>
    </row>
  </sheetData>
  <mergeCells count="6">
    <mergeCell ref="A17:B17"/>
    <mergeCell ref="A3:B3"/>
    <mergeCell ref="A5:B5"/>
    <mergeCell ref="A6:B6"/>
    <mergeCell ref="A2:B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14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5"/>
  <dimension ref="A1:B16"/>
  <sheetViews>
    <sheetView zoomScale="140" zoomScaleNormal="140" workbookViewId="0">
      <selection activeCell="B14" sqref="B14"/>
    </sheetView>
  </sheetViews>
  <sheetFormatPr baseColWidth="10" defaultColWidth="11.42578125" defaultRowHeight="15" x14ac:dyDescent="0.2"/>
  <cols>
    <col min="1" max="16384" width="11.42578125" style="4"/>
  </cols>
  <sheetData>
    <row r="1" spans="1:2" x14ac:dyDescent="0.2">
      <c r="B1" s="4" t="s">
        <v>505</v>
      </c>
    </row>
    <row r="3" spans="1:2" x14ac:dyDescent="0.2">
      <c r="A3" s="4">
        <v>1</v>
      </c>
      <c r="B3" s="4" t="s">
        <v>506</v>
      </c>
    </row>
    <row r="4" spans="1:2" x14ac:dyDescent="0.2">
      <c r="A4" s="4">
        <v>2</v>
      </c>
      <c r="B4" s="4" t="s">
        <v>507</v>
      </c>
    </row>
    <row r="5" spans="1:2" x14ac:dyDescent="0.2">
      <c r="A5" s="4">
        <v>3</v>
      </c>
      <c r="B5" s="4" t="s">
        <v>508</v>
      </c>
    </row>
    <row r="6" spans="1:2" x14ac:dyDescent="0.2">
      <c r="A6" s="4">
        <v>4</v>
      </c>
      <c r="B6" s="4" t="s">
        <v>509</v>
      </c>
    </row>
    <row r="7" spans="1:2" x14ac:dyDescent="0.2">
      <c r="A7" s="4">
        <v>5</v>
      </c>
      <c r="B7" s="4" t="s">
        <v>510</v>
      </c>
    </row>
    <row r="8" spans="1:2" x14ac:dyDescent="0.2">
      <c r="A8" s="4">
        <v>6</v>
      </c>
      <c r="B8" s="4" t="s">
        <v>511</v>
      </c>
    </row>
    <row r="9" spans="1:2" x14ac:dyDescent="0.2">
      <c r="A9" s="4">
        <v>7</v>
      </c>
      <c r="B9" s="4" t="s">
        <v>512</v>
      </c>
    </row>
    <row r="10" spans="1:2" x14ac:dyDescent="0.2">
      <c r="A10" s="4">
        <v>8</v>
      </c>
      <c r="B10" s="4" t="s">
        <v>513</v>
      </c>
    </row>
    <row r="11" spans="1:2" x14ac:dyDescent="0.2">
      <c r="A11" s="4">
        <v>9</v>
      </c>
      <c r="B11" s="4" t="s">
        <v>514</v>
      </c>
    </row>
    <row r="12" spans="1:2" x14ac:dyDescent="0.2">
      <c r="A12" s="4">
        <v>10</v>
      </c>
      <c r="B12" s="4" t="s">
        <v>515</v>
      </c>
    </row>
    <row r="13" spans="1:2" x14ac:dyDescent="0.2">
      <c r="A13" s="4">
        <v>11</v>
      </c>
      <c r="B13" s="4" t="s">
        <v>516</v>
      </c>
    </row>
    <row r="14" spans="1:2" x14ac:dyDescent="0.2">
      <c r="A14" s="4">
        <v>12</v>
      </c>
      <c r="B14" s="4" t="s">
        <v>517</v>
      </c>
    </row>
    <row r="16" spans="1:2" x14ac:dyDescent="0.2">
      <c r="B16" s="4" t="s">
        <v>518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 tint="0.39997558519241921"/>
    <pageSetUpPr fitToPage="1"/>
  </sheetPr>
  <dimension ref="B6:K164"/>
  <sheetViews>
    <sheetView zoomScale="80" zoomScaleNormal="80" zoomScaleSheetLayoutView="80" workbookViewId="0">
      <selection activeCell="B10" sqref="B10"/>
    </sheetView>
  </sheetViews>
  <sheetFormatPr baseColWidth="10" defaultColWidth="11.5703125" defaultRowHeight="15" x14ac:dyDescent="0.2"/>
  <cols>
    <col min="1" max="1" width="5.140625" style="4" customWidth="1"/>
    <col min="2" max="2" width="47.85546875" style="4" customWidth="1"/>
    <col min="3" max="3" width="3.7109375" style="4" customWidth="1"/>
    <col min="4" max="4" width="19.7109375" style="4" bestFit="1" customWidth="1"/>
    <col min="5" max="5" width="20.140625" style="4" bestFit="1" customWidth="1"/>
    <col min="6" max="6" width="25.42578125" style="4" customWidth="1"/>
    <col min="7" max="7" width="20.140625" style="4" bestFit="1" customWidth="1"/>
    <col min="8" max="8" width="24.85546875" style="4" customWidth="1"/>
    <col min="9" max="9" width="18.140625" style="4" customWidth="1"/>
    <col min="10" max="10" width="11.5703125" style="4"/>
    <col min="11" max="11" width="16.28515625" style="4" bestFit="1" customWidth="1"/>
    <col min="12" max="16384" width="11.5703125" style="4"/>
  </cols>
  <sheetData>
    <row r="6" spans="2:8" s="9" customFormat="1" ht="24.75" customHeight="1" x14ac:dyDescent="0.25">
      <c r="B6" s="7" t="str">
        <f>+'A-SITUACION ANEXOS'!B6</f>
        <v xml:space="preserve">ANEXOS DE ESTADO DE SITUACIÓN </v>
      </c>
      <c r="G6" s="4"/>
      <c r="H6" s="4"/>
    </row>
    <row r="7" spans="2:8" s="9" customFormat="1" ht="24.75" customHeight="1" x14ac:dyDescent="0.25">
      <c r="B7" s="7" t="s">
        <v>854</v>
      </c>
      <c r="F7" s="4"/>
      <c r="G7" s="4"/>
      <c r="H7" s="4"/>
    </row>
    <row r="8" spans="2:8" s="9" customFormat="1" ht="24.75" customHeight="1" x14ac:dyDescent="0.25">
      <c r="B8" s="7" t="str">
        <f>+'A-SITUACION ANEXOS'!B8</f>
        <v>VALORES EXPRESADOS EN RD$</v>
      </c>
      <c r="F8" s="4"/>
      <c r="G8" s="4"/>
      <c r="H8" s="4"/>
    </row>
    <row r="9" spans="2:8" s="9" customFormat="1" ht="24.75" customHeight="1" x14ac:dyDescent="0.25">
      <c r="F9" s="4"/>
      <c r="G9" s="4"/>
      <c r="H9" s="4"/>
    </row>
    <row r="10" spans="2:8" s="9" customFormat="1" ht="24.75" customHeight="1" x14ac:dyDescent="0.25">
      <c r="B10" s="624" t="s">
        <v>780</v>
      </c>
      <c r="D10" s="31"/>
      <c r="F10" s="4"/>
      <c r="G10" s="4"/>
      <c r="H10" s="4"/>
    </row>
    <row r="11" spans="2:8" s="9" customFormat="1" ht="24.75" customHeight="1" x14ac:dyDescent="0.25">
      <c r="E11" s="76"/>
      <c r="F11" s="4"/>
      <c r="G11" s="4"/>
      <c r="H11" s="21"/>
    </row>
    <row r="12" spans="2:8" s="9" customFormat="1" ht="24.75" customHeight="1" x14ac:dyDescent="0.25">
      <c r="B12" s="7" t="s">
        <v>214</v>
      </c>
    </row>
    <row r="13" spans="2:8" s="9" customFormat="1" ht="24.75" customHeight="1" thickBot="1" x14ac:dyDescent="0.3">
      <c r="B13" s="7"/>
    </row>
    <row r="14" spans="2:8" s="37" customFormat="1" ht="33" customHeight="1" thickBot="1" x14ac:dyDescent="0.25">
      <c r="B14" s="639" t="s">
        <v>784</v>
      </c>
      <c r="C14" s="643"/>
      <c r="D14" s="641" t="s">
        <v>781</v>
      </c>
      <c r="E14" s="637" t="s">
        <v>868</v>
      </c>
      <c r="F14" s="638"/>
      <c r="G14" s="637" t="s">
        <v>827</v>
      </c>
      <c r="H14" s="638"/>
    </row>
    <row r="15" spans="2:8" s="15" customFormat="1" ht="42" customHeight="1" thickBot="1" x14ac:dyDescent="0.25">
      <c r="B15" s="640"/>
      <c r="C15" s="644"/>
      <c r="D15" s="642"/>
      <c r="E15" s="493" t="s">
        <v>782</v>
      </c>
      <c r="F15" s="493" t="s">
        <v>783</v>
      </c>
      <c r="G15" s="493" t="s">
        <v>782</v>
      </c>
      <c r="H15" s="494" t="s">
        <v>783</v>
      </c>
    </row>
    <row r="16" spans="2:8" ht="24.75" customHeight="1" x14ac:dyDescent="0.2">
      <c r="B16" s="218" t="s">
        <v>98</v>
      </c>
      <c r="C16" s="485"/>
      <c r="D16" s="486">
        <v>99.500102455000004</v>
      </c>
      <c r="E16" s="487">
        <f>F16/100</f>
        <v>6953497</v>
      </c>
      <c r="F16" s="488">
        <v>695349700</v>
      </c>
      <c r="G16" s="487">
        <v>6953497</v>
      </c>
      <c r="H16" s="489">
        <v>695349700</v>
      </c>
    </row>
    <row r="17" spans="2:11" ht="24.75" customHeight="1" x14ac:dyDescent="0.2">
      <c r="B17" s="127" t="s">
        <v>217</v>
      </c>
      <c r="C17" s="191"/>
      <c r="D17" s="478">
        <v>49.9739570395</v>
      </c>
      <c r="E17" s="479">
        <f>F17/100</f>
        <v>28163101</v>
      </c>
      <c r="F17" s="149">
        <v>2816310100</v>
      </c>
      <c r="G17" s="479">
        <v>28163101</v>
      </c>
      <c r="H17" s="300">
        <v>2816310100</v>
      </c>
    </row>
    <row r="18" spans="2:11" ht="24.75" customHeight="1" x14ac:dyDescent="0.2">
      <c r="B18" s="127" t="s">
        <v>218</v>
      </c>
      <c r="C18" s="191"/>
      <c r="D18" s="478">
        <v>49.590354330700002</v>
      </c>
      <c r="E18" s="479">
        <f>F18/100</f>
        <v>2519190</v>
      </c>
      <c r="F18" s="149">
        <f>251919000+0</f>
        <v>251919000</v>
      </c>
      <c r="G18" s="479">
        <v>2519190</v>
      </c>
      <c r="H18" s="300">
        <v>251919000</v>
      </c>
    </row>
    <row r="19" spans="2:11" ht="24.75" customHeight="1" x14ac:dyDescent="0.2">
      <c r="B19" s="127" t="s">
        <v>219</v>
      </c>
      <c r="C19" s="191"/>
      <c r="D19" s="478">
        <v>49.993471306399996</v>
      </c>
      <c r="E19" s="479">
        <f>2297250000/100</f>
        <v>22972500</v>
      </c>
      <c r="F19" s="149">
        <v>2297250000</v>
      </c>
      <c r="G19" s="479">
        <v>22972500</v>
      </c>
      <c r="H19" s="300">
        <v>2297250000</v>
      </c>
    </row>
    <row r="20" spans="2:11" ht="24.75" customHeight="1" x14ac:dyDescent="0.2">
      <c r="B20" s="127" t="s">
        <v>99</v>
      </c>
      <c r="C20" s="191"/>
      <c r="D20" s="478">
        <v>99.979305835000005</v>
      </c>
      <c r="E20" s="479">
        <f>F20/100</f>
        <v>32403395</v>
      </c>
      <c r="F20" s="149">
        <v>3240339500</v>
      </c>
      <c r="G20" s="479">
        <v>32403395</v>
      </c>
      <c r="H20" s="300">
        <v>3240339500</v>
      </c>
    </row>
    <row r="21" spans="2:11" ht="24.75" customHeight="1" x14ac:dyDescent="0.2">
      <c r="B21" s="127" t="s">
        <v>220</v>
      </c>
      <c r="C21" s="191"/>
      <c r="D21" s="478">
        <v>99.960759730299998</v>
      </c>
      <c r="E21" s="479">
        <f>F21/100</f>
        <v>34750978</v>
      </c>
      <c r="F21" s="149">
        <v>3475097800</v>
      </c>
      <c r="G21" s="479">
        <v>34750978</v>
      </c>
      <c r="H21" s="300">
        <v>3475097800</v>
      </c>
    </row>
    <row r="22" spans="2:11" ht="24.75" customHeight="1" x14ac:dyDescent="0.2">
      <c r="B22" s="127" t="s">
        <v>100</v>
      </c>
      <c r="C22" s="191"/>
      <c r="D22" s="478">
        <v>99.9381695318</v>
      </c>
      <c r="E22" s="479">
        <f>F22/100</f>
        <v>34628160</v>
      </c>
      <c r="F22" s="149">
        <v>3462816000</v>
      </c>
      <c r="G22" s="479">
        <v>34628160</v>
      </c>
      <c r="H22" s="300">
        <v>3462816000</v>
      </c>
      <c r="K22" s="29"/>
    </row>
    <row r="23" spans="2:11" ht="44.25" customHeight="1" x14ac:dyDescent="0.2">
      <c r="B23" s="481" t="s">
        <v>647</v>
      </c>
      <c r="C23" s="191"/>
      <c r="D23" s="478">
        <v>0.1</v>
      </c>
      <c r="E23" s="479">
        <v>1</v>
      </c>
      <c r="F23" s="149">
        <v>134998789</v>
      </c>
      <c r="G23" s="479">
        <v>1</v>
      </c>
      <c r="H23" s="300">
        <v>134998789</v>
      </c>
      <c r="K23" s="29"/>
    </row>
    <row r="24" spans="2:11" ht="42.75" customHeight="1" x14ac:dyDescent="0.35">
      <c r="B24" s="482" t="s">
        <v>648</v>
      </c>
      <c r="C24" s="191"/>
      <c r="D24" s="478">
        <v>0.1</v>
      </c>
      <c r="E24" s="479">
        <v>1</v>
      </c>
      <c r="F24" s="190">
        <v>30000</v>
      </c>
      <c r="G24" s="484">
        <v>1</v>
      </c>
      <c r="H24" s="301">
        <v>30000</v>
      </c>
      <c r="K24" s="29"/>
    </row>
    <row r="25" spans="2:11" ht="42" customHeight="1" x14ac:dyDescent="0.4">
      <c r="B25" s="490" t="s">
        <v>221</v>
      </c>
      <c r="C25" s="191"/>
      <c r="D25" s="191"/>
      <c r="E25" s="495">
        <f>SUM(E16:E24)</f>
        <v>162390823</v>
      </c>
      <c r="F25" s="480">
        <f>SUM(F16:F24)</f>
        <v>16374110889</v>
      </c>
      <c r="G25" s="495">
        <f>SUM(G16:G24)</f>
        <v>162390823</v>
      </c>
      <c r="H25" s="438">
        <f>SUM(H16:H24)</f>
        <v>16374110889</v>
      </c>
    </row>
    <row r="26" spans="2:11" ht="24.75" customHeight="1" x14ac:dyDescent="0.2">
      <c r="B26" s="127"/>
      <c r="C26" s="191"/>
      <c r="D26" s="191"/>
      <c r="E26" s="191"/>
      <c r="F26" s="191"/>
      <c r="G26" s="191"/>
      <c r="H26" s="491"/>
    </row>
    <row r="27" spans="2:11" ht="5.25" customHeight="1" thickBot="1" x14ac:dyDescent="0.25">
      <c r="B27" s="135"/>
      <c r="C27" s="483"/>
      <c r="D27" s="483"/>
      <c r="E27" s="483"/>
      <c r="F27" s="492"/>
      <c r="G27" s="483"/>
      <c r="H27" s="303"/>
    </row>
    <row r="29" spans="2:11" x14ac:dyDescent="0.2">
      <c r="F29" s="21"/>
    </row>
    <row r="157" spans="9:9" x14ac:dyDescent="0.2">
      <c r="I157" s="116"/>
    </row>
    <row r="158" spans="9:9" x14ac:dyDescent="0.2">
      <c r="I158" s="116"/>
    </row>
    <row r="159" spans="9:9" x14ac:dyDescent="0.2">
      <c r="I159" s="116"/>
    </row>
    <row r="160" spans="9:9" x14ac:dyDescent="0.2">
      <c r="I160" s="116"/>
    </row>
    <row r="161" spans="9:9" x14ac:dyDescent="0.2">
      <c r="I161" s="116"/>
    </row>
    <row r="162" spans="9:9" x14ac:dyDescent="0.2">
      <c r="I162" s="116"/>
    </row>
    <row r="163" spans="9:9" x14ac:dyDescent="0.2">
      <c r="I163" s="116"/>
    </row>
    <row r="164" spans="9:9" x14ac:dyDescent="0.2">
      <c r="I164" s="116"/>
    </row>
  </sheetData>
  <mergeCells count="5">
    <mergeCell ref="E14:F14"/>
    <mergeCell ref="G14:H14"/>
    <mergeCell ref="B14:B15"/>
    <mergeCell ref="D14:D15"/>
    <mergeCell ref="C14:C15"/>
  </mergeCells>
  <pageMargins left="0.61" right="0.54" top="0.74803149606299213" bottom="0.74803149606299213" header="0.31496062992125984" footer="0.31496062992125984"/>
  <pageSetup scale="57" firstPageNumber="3" fitToHeight="10" orientation="portrait" useFirstPageNumber="1" r:id="rId1"/>
  <ignoredErrors>
    <ignoredError sqref="E1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 tint="0.39997558519241921"/>
  </sheetPr>
  <dimension ref="B2:N195"/>
  <sheetViews>
    <sheetView tabSelected="1" view="pageBreakPreview" topLeftCell="A60" zoomScale="90" zoomScaleNormal="100" zoomScaleSheetLayoutView="90" workbookViewId="0">
      <selection activeCell="D65" sqref="D65"/>
    </sheetView>
  </sheetViews>
  <sheetFormatPr baseColWidth="10" defaultColWidth="11.5703125" defaultRowHeight="15" x14ac:dyDescent="0.2"/>
  <cols>
    <col min="1" max="1" width="4.5703125" style="4" customWidth="1"/>
    <col min="2" max="2" width="74.140625" style="4" customWidth="1"/>
    <col min="3" max="3" width="14.28515625" style="5" customWidth="1"/>
    <col min="4" max="5" width="23.42578125" style="6" bestFit="1" customWidth="1"/>
    <col min="6" max="6" width="25.85546875" style="6" customWidth="1"/>
    <col min="7" max="7" width="2.5703125" style="4" customWidth="1"/>
    <col min="8" max="8" width="28.42578125" style="4" customWidth="1"/>
    <col min="9" max="9" width="15.85546875" style="4" bestFit="1" customWidth="1"/>
    <col min="10" max="10" width="11.5703125" style="4"/>
    <col min="11" max="11" width="13.5703125" style="4" customWidth="1"/>
    <col min="12" max="12" width="12.85546875" style="4" bestFit="1" customWidth="1"/>
    <col min="13" max="13" width="11.5703125" style="4"/>
    <col min="14" max="14" width="13.5703125" style="4" customWidth="1"/>
    <col min="15" max="16384" width="11.5703125" style="4"/>
  </cols>
  <sheetData>
    <row r="2" spans="2:6" ht="27" customHeight="1" x14ac:dyDescent="0.2"/>
    <row r="4" spans="2:6" s="9" customFormat="1" ht="24.75" customHeight="1" x14ac:dyDescent="0.25">
      <c r="B4" s="7" t="s">
        <v>129</v>
      </c>
      <c r="C4" s="499"/>
      <c r="D4" s="8"/>
      <c r="E4" s="8"/>
      <c r="F4" s="8"/>
    </row>
    <row r="5" spans="2:6" s="9" customFormat="1" ht="24.75" customHeight="1" x14ac:dyDescent="0.25">
      <c r="B5" s="7" t="s">
        <v>854</v>
      </c>
      <c r="C5" s="499"/>
      <c r="D5" s="8"/>
      <c r="E5" s="8"/>
      <c r="F5" s="8"/>
    </row>
    <row r="6" spans="2:6" s="9" customFormat="1" ht="24.75" customHeight="1" x14ac:dyDescent="0.25">
      <c r="B6" s="7" t="s">
        <v>63</v>
      </c>
      <c r="C6" s="499"/>
      <c r="D6" s="8"/>
      <c r="E6" s="8"/>
      <c r="F6" s="8"/>
    </row>
    <row r="7" spans="2:6" s="9" customFormat="1" ht="18" x14ac:dyDescent="0.25">
      <c r="C7" s="499"/>
      <c r="D7" s="8"/>
      <c r="E7" s="8"/>
      <c r="F7" s="8"/>
    </row>
    <row r="8" spans="2:6" s="9" customFormat="1" ht="37.5" customHeight="1" x14ac:dyDescent="0.25">
      <c r="C8" s="10" t="s">
        <v>4</v>
      </c>
      <c r="D8" s="10" t="s">
        <v>130</v>
      </c>
      <c r="E8" s="10" t="s">
        <v>131</v>
      </c>
      <c r="F8" s="10" t="s">
        <v>7</v>
      </c>
    </row>
    <row r="9" spans="2:6" ht="15.75" x14ac:dyDescent="0.25">
      <c r="C9" s="500"/>
      <c r="D9" s="11"/>
      <c r="E9" s="11"/>
      <c r="F9" s="11"/>
    </row>
    <row r="10" spans="2:6" ht="20.100000000000001" customHeight="1" x14ac:dyDescent="0.25">
      <c r="C10" s="500" t="s">
        <v>68</v>
      </c>
      <c r="D10" s="11"/>
      <c r="E10" s="11"/>
      <c r="F10" s="11"/>
    </row>
    <row r="11" spans="2:6" s="15" customFormat="1" ht="24.75" customHeight="1" x14ac:dyDescent="0.2">
      <c r="B11" s="12" t="s">
        <v>802</v>
      </c>
      <c r="C11" s="501">
        <v>15</v>
      </c>
      <c r="D11" s="13"/>
      <c r="E11" s="14"/>
      <c r="F11" s="14"/>
    </row>
    <row r="12" spans="2:6" ht="20.100000000000001" customHeight="1" x14ac:dyDescent="0.25">
      <c r="B12" s="4" t="s">
        <v>132</v>
      </c>
      <c r="C12" s="500"/>
      <c r="D12" s="6">
        <v>0</v>
      </c>
      <c r="E12" s="11">
        <v>0</v>
      </c>
      <c r="F12" s="11">
        <f>D12-E12</f>
        <v>0</v>
      </c>
    </row>
    <row r="13" spans="2:6" ht="20.100000000000001" customHeight="1" x14ac:dyDescent="0.25">
      <c r="B13" s="16" t="s">
        <v>133</v>
      </c>
      <c r="C13" s="500"/>
      <c r="D13" s="6">
        <v>0</v>
      </c>
      <c r="E13" s="11">
        <v>0</v>
      </c>
      <c r="F13" s="11">
        <f>D13-E13</f>
        <v>0</v>
      </c>
    </row>
    <row r="14" spans="2:6" ht="20.100000000000001" customHeight="1" x14ac:dyDescent="0.25">
      <c r="B14" s="16" t="s">
        <v>134</v>
      </c>
      <c r="C14" s="500"/>
      <c r="D14" s="6">
        <v>0</v>
      </c>
      <c r="E14" s="11">
        <v>0</v>
      </c>
      <c r="F14" s="11">
        <f>D14-E14</f>
        <v>0</v>
      </c>
    </row>
    <row r="15" spans="2:6" ht="36.75" customHeight="1" x14ac:dyDescent="0.25">
      <c r="B15" s="16" t="s">
        <v>785</v>
      </c>
      <c r="C15" s="500"/>
      <c r="D15" s="6">
        <v>1709914.86</v>
      </c>
      <c r="E15" s="11">
        <v>1709914.86</v>
      </c>
      <c r="F15" s="11">
        <f>D15-E15</f>
        <v>0</v>
      </c>
    </row>
    <row r="16" spans="2:6" ht="15.75" customHeight="1" x14ac:dyDescent="0.2">
      <c r="C16" s="17" t="s">
        <v>744</v>
      </c>
      <c r="E16" s="11"/>
      <c r="F16" s="11"/>
    </row>
    <row r="17" spans="2:8" s="15" customFormat="1" ht="41.25" customHeight="1" x14ac:dyDescent="0.2">
      <c r="B17" s="502" t="s">
        <v>803</v>
      </c>
      <c r="C17" s="501"/>
      <c r="D17" s="18">
        <f>SUM(D12:D16)</f>
        <v>1709914.86</v>
      </c>
      <c r="E17" s="18">
        <f>SUM(E12:E16)</f>
        <v>1709914.86</v>
      </c>
      <c r="F17" s="19">
        <f>SUM(F12:F16)</f>
        <v>0</v>
      </c>
    </row>
    <row r="18" spans="2:8" ht="20.100000000000001" customHeight="1" x14ac:dyDescent="0.25">
      <c r="C18" s="500" t="s">
        <v>68</v>
      </c>
      <c r="E18" s="11"/>
      <c r="F18" s="11"/>
    </row>
    <row r="19" spans="2:8" ht="20.100000000000001" customHeight="1" x14ac:dyDescent="0.25">
      <c r="C19" s="500" t="s">
        <v>68</v>
      </c>
      <c r="D19" s="20"/>
      <c r="E19" s="11"/>
      <c r="F19" s="11"/>
    </row>
    <row r="20" spans="2:8" s="15" customFormat="1" ht="24.75" customHeight="1" x14ac:dyDescent="0.2">
      <c r="B20" s="12" t="s">
        <v>135</v>
      </c>
      <c r="C20" s="501">
        <v>16</v>
      </c>
      <c r="D20" s="13"/>
      <c r="E20" s="14"/>
      <c r="F20" s="14"/>
    </row>
    <row r="21" spans="2:8" ht="20.100000000000001" customHeight="1" x14ac:dyDescent="0.25">
      <c r="B21" s="4" t="s">
        <v>136</v>
      </c>
      <c r="C21" s="500"/>
      <c r="D21" s="6">
        <v>112681062.13</v>
      </c>
      <c r="E21" s="6">
        <v>97928249.969999999</v>
      </c>
      <c r="F21" s="11">
        <f>D21-E21</f>
        <v>14752812.159999996</v>
      </c>
      <c r="H21" s="21"/>
    </row>
    <row r="22" spans="2:8" ht="20.100000000000001" customHeight="1" x14ac:dyDescent="0.2">
      <c r="C22" s="17" t="s">
        <v>744</v>
      </c>
      <c r="E22" s="11"/>
      <c r="F22" s="11"/>
    </row>
    <row r="23" spans="2:8" s="12" customFormat="1" ht="24.75" customHeight="1" x14ac:dyDescent="0.2">
      <c r="B23" s="12" t="s">
        <v>137</v>
      </c>
      <c r="C23" s="501"/>
      <c r="D23" s="18">
        <f>SUM(D21:D21)</f>
        <v>112681062.13</v>
      </c>
      <c r="E23" s="18">
        <f>SUM(E21:E21)</f>
        <v>97928249.969999999</v>
      </c>
      <c r="F23" s="19">
        <f>SUM(F21:F21)</f>
        <v>14752812.159999996</v>
      </c>
    </row>
    <row r="24" spans="2:8" ht="20.100000000000001" customHeight="1" x14ac:dyDescent="0.25">
      <c r="B24" s="21"/>
      <c r="C24" s="500" t="s">
        <v>68</v>
      </c>
      <c r="E24" s="11"/>
      <c r="F24" s="11"/>
    </row>
    <row r="25" spans="2:8" ht="20.100000000000001" customHeight="1" x14ac:dyDescent="0.25">
      <c r="C25" s="500" t="s">
        <v>68</v>
      </c>
      <c r="E25" s="11"/>
      <c r="F25" s="11"/>
    </row>
    <row r="26" spans="2:8" s="15" customFormat="1" ht="24.75" customHeight="1" x14ac:dyDescent="0.2">
      <c r="B26" s="12" t="s">
        <v>138</v>
      </c>
      <c r="C26" s="501">
        <v>17</v>
      </c>
      <c r="D26" s="13"/>
      <c r="E26" s="14"/>
      <c r="F26" s="14"/>
    </row>
    <row r="27" spans="2:8" ht="20.100000000000001" customHeight="1" x14ac:dyDescent="0.25">
      <c r="B27" s="4" t="s">
        <v>139</v>
      </c>
      <c r="C27" s="500" t="s">
        <v>68</v>
      </c>
      <c r="D27" s="6">
        <v>2065881.61</v>
      </c>
      <c r="E27" s="6">
        <v>1825584.55</v>
      </c>
      <c r="F27" s="11">
        <f>D27-E27</f>
        <v>240297.06000000006</v>
      </c>
    </row>
    <row r="28" spans="2:8" ht="20.100000000000001" customHeight="1" x14ac:dyDescent="0.2">
      <c r="C28" s="17" t="s">
        <v>744</v>
      </c>
      <c r="E28" s="11"/>
      <c r="F28" s="11"/>
    </row>
    <row r="29" spans="2:8" s="12" customFormat="1" ht="24.75" customHeight="1" x14ac:dyDescent="0.2">
      <c r="B29" s="12" t="s">
        <v>140</v>
      </c>
      <c r="C29" s="501"/>
      <c r="D29" s="18">
        <f>SUM(D27:D27)</f>
        <v>2065881.61</v>
      </c>
      <c r="E29" s="19">
        <f>SUM(E27:E27)</f>
        <v>1825584.55</v>
      </c>
      <c r="F29" s="19">
        <f>SUM(F27:F27)</f>
        <v>240297.06000000006</v>
      </c>
    </row>
    <row r="30" spans="2:8" ht="20.100000000000001" customHeight="1" x14ac:dyDescent="0.25">
      <c r="C30" s="500" t="s">
        <v>68</v>
      </c>
      <c r="E30" s="11"/>
      <c r="F30" s="11"/>
    </row>
    <row r="31" spans="2:8" ht="20.100000000000001" customHeight="1" x14ac:dyDescent="0.25">
      <c r="C31" s="500" t="s">
        <v>68</v>
      </c>
      <c r="E31" s="11"/>
      <c r="F31" s="11"/>
    </row>
    <row r="32" spans="2:8" s="15" customFormat="1" ht="24.75" customHeight="1" x14ac:dyDescent="0.2">
      <c r="B32" s="12" t="s">
        <v>141</v>
      </c>
      <c r="C32" s="501">
        <v>18</v>
      </c>
      <c r="D32" s="13"/>
      <c r="E32" s="14"/>
      <c r="F32" s="14"/>
    </row>
    <row r="33" spans="2:9" ht="20.100000000000001" customHeight="1" x14ac:dyDescent="0.25">
      <c r="B33" s="4" t="s">
        <v>142</v>
      </c>
      <c r="C33" s="500" t="s">
        <v>68</v>
      </c>
      <c r="D33" s="6">
        <v>77361636.420000002</v>
      </c>
      <c r="E33" s="6">
        <v>68262636.420000002</v>
      </c>
      <c r="F33" s="11">
        <f t="shared" ref="F33:F49" si="0">D33-E33</f>
        <v>9099000</v>
      </c>
      <c r="H33" s="15"/>
      <c r="I33" s="15"/>
    </row>
    <row r="34" spans="2:9" ht="20.100000000000001" customHeight="1" x14ac:dyDescent="0.25">
      <c r="B34" s="4" t="s">
        <v>143</v>
      </c>
      <c r="C34" s="500" t="s">
        <v>68</v>
      </c>
      <c r="D34" s="6">
        <v>4766180</v>
      </c>
      <c r="E34" s="6">
        <v>4172075</v>
      </c>
      <c r="F34" s="11">
        <f t="shared" si="0"/>
        <v>594105</v>
      </c>
      <c r="H34" s="15"/>
      <c r="I34" s="15"/>
    </row>
    <row r="35" spans="2:9" ht="20.100000000000001" customHeight="1" x14ac:dyDescent="0.25">
      <c r="B35" s="4" t="s">
        <v>144</v>
      </c>
      <c r="C35" s="500"/>
      <c r="D35" s="6">
        <v>252398.15</v>
      </c>
      <c r="E35" s="6">
        <v>238617.3</v>
      </c>
      <c r="F35" s="11">
        <f t="shared" si="0"/>
        <v>13780.850000000006</v>
      </c>
      <c r="H35" s="15"/>
      <c r="I35" s="15"/>
    </row>
    <row r="36" spans="2:9" ht="20.100000000000001" customHeight="1" x14ac:dyDescent="0.25">
      <c r="B36" s="4" t="s">
        <v>749</v>
      </c>
      <c r="C36" s="500"/>
      <c r="D36" s="6">
        <v>6311666.6600000001</v>
      </c>
      <c r="E36" s="6">
        <v>5596666.6600000001</v>
      </c>
      <c r="F36" s="11">
        <f t="shared" si="0"/>
        <v>715000</v>
      </c>
      <c r="H36" s="15"/>
      <c r="I36" s="15"/>
    </row>
    <row r="37" spans="2:9" ht="20.100000000000001" customHeight="1" x14ac:dyDescent="0.25">
      <c r="B37" s="4" t="s">
        <v>145</v>
      </c>
      <c r="C37" s="500" t="s">
        <v>68</v>
      </c>
      <c r="D37" s="6">
        <v>4351940</v>
      </c>
      <c r="E37" s="6">
        <v>3954880</v>
      </c>
      <c r="F37" s="11">
        <f t="shared" si="0"/>
        <v>397060</v>
      </c>
      <c r="H37" s="15"/>
      <c r="I37" s="15"/>
    </row>
    <row r="38" spans="2:9" ht="20.100000000000001" customHeight="1" x14ac:dyDescent="0.25">
      <c r="B38" s="4" t="s">
        <v>146</v>
      </c>
      <c r="C38" s="500"/>
      <c r="D38" s="6">
        <v>8130000</v>
      </c>
      <c r="E38" s="6">
        <v>7160000</v>
      </c>
      <c r="F38" s="11">
        <f t="shared" si="0"/>
        <v>970000</v>
      </c>
      <c r="H38" s="15"/>
      <c r="I38" s="15"/>
    </row>
    <row r="39" spans="2:9" ht="20.100000000000001" customHeight="1" x14ac:dyDescent="0.25">
      <c r="B39" s="4" t="s">
        <v>147</v>
      </c>
      <c r="C39" s="500"/>
      <c r="D39" s="6">
        <v>339157</v>
      </c>
      <c r="E39" s="6">
        <v>339157</v>
      </c>
      <c r="F39" s="11">
        <f t="shared" si="0"/>
        <v>0</v>
      </c>
      <c r="H39" s="15"/>
      <c r="I39" s="15"/>
    </row>
    <row r="40" spans="2:9" ht="20.100000000000001" customHeight="1" x14ac:dyDescent="0.25">
      <c r="B40" s="4" t="s">
        <v>148</v>
      </c>
      <c r="C40" s="500"/>
      <c r="D40" s="6">
        <v>994850</v>
      </c>
      <c r="E40" s="6">
        <v>244850</v>
      </c>
      <c r="F40" s="11">
        <f t="shared" si="0"/>
        <v>750000</v>
      </c>
      <c r="H40" s="15"/>
      <c r="I40" s="15"/>
    </row>
    <row r="41" spans="2:9" ht="20.100000000000001" customHeight="1" x14ac:dyDescent="0.25">
      <c r="B41" s="4" t="s">
        <v>149</v>
      </c>
      <c r="C41" s="500"/>
      <c r="D41" s="6">
        <v>220000</v>
      </c>
      <c r="E41" s="6">
        <v>220000</v>
      </c>
      <c r="F41" s="11">
        <f t="shared" si="0"/>
        <v>0</v>
      </c>
      <c r="H41" s="15"/>
      <c r="I41" s="15"/>
    </row>
    <row r="42" spans="2:9" ht="20.100000000000001" customHeight="1" x14ac:dyDescent="0.25">
      <c r="B42" s="4" t="s">
        <v>150</v>
      </c>
      <c r="C42" s="500"/>
      <c r="D42" s="6">
        <v>382572.36</v>
      </c>
      <c r="E42" s="6">
        <v>347728.19</v>
      </c>
      <c r="F42" s="11">
        <f t="shared" si="0"/>
        <v>34844.169999999984</v>
      </c>
      <c r="H42" s="15"/>
      <c r="I42" s="15"/>
    </row>
    <row r="43" spans="2:9" ht="20.100000000000001" customHeight="1" x14ac:dyDescent="0.3">
      <c r="B43" s="4" t="s">
        <v>151</v>
      </c>
      <c r="C43" s="500" t="s">
        <v>68</v>
      </c>
      <c r="D43" s="465">
        <v>7310535.0300000003</v>
      </c>
      <c r="E43" s="6">
        <v>6498253.3600000003</v>
      </c>
      <c r="F43" s="11">
        <f t="shared" si="0"/>
        <v>812281.66999999993</v>
      </c>
      <c r="H43" s="15"/>
      <c r="I43" s="15"/>
    </row>
    <row r="44" spans="2:9" ht="20.100000000000001" customHeight="1" x14ac:dyDescent="0.25">
      <c r="B44" s="4" t="s">
        <v>152</v>
      </c>
      <c r="C44" s="500" t="s">
        <v>68</v>
      </c>
      <c r="D44" s="6">
        <v>37516304.979999997</v>
      </c>
      <c r="E44" s="6">
        <v>33347826.649999999</v>
      </c>
      <c r="F44" s="11">
        <f t="shared" si="0"/>
        <v>4168478.3299999982</v>
      </c>
      <c r="H44" s="15"/>
      <c r="I44" s="15"/>
    </row>
    <row r="45" spans="2:9" ht="20.100000000000001" customHeight="1" x14ac:dyDescent="0.25">
      <c r="B45" s="4" t="s">
        <v>153</v>
      </c>
      <c r="C45" s="500" t="s">
        <v>68</v>
      </c>
      <c r="D45" s="6">
        <v>3269150</v>
      </c>
      <c r="E45" s="6">
        <v>920000</v>
      </c>
      <c r="F45" s="11">
        <f t="shared" si="0"/>
        <v>2349150</v>
      </c>
      <c r="H45" s="15"/>
      <c r="I45" s="15"/>
    </row>
    <row r="46" spans="2:9" ht="20.100000000000001" customHeight="1" x14ac:dyDescent="0.25">
      <c r="B46" s="4" t="s">
        <v>786</v>
      </c>
      <c r="C46" s="500" t="s">
        <v>68</v>
      </c>
      <c r="D46" s="6">
        <v>5047913.7</v>
      </c>
      <c r="E46" s="6">
        <v>4735766.1500000004</v>
      </c>
      <c r="F46" s="11">
        <f t="shared" si="0"/>
        <v>312147.54999999981</v>
      </c>
      <c r="H46" s="15"/>
      <c r="I46" s="15"/>
    </row>
    <row r="47" spans="2:9" ht="20.100000000000001" customHeight="1" x14ac:dyDescent="0.25">
      <c r="B47" s="4" t="s">
        <v>787</v>
      </c>
      <c r="C47" s="500"/>
      <c r="D47" s="6">
        <v>10000</v>
      </c>
      <c r="E47" s="6">
        <v>10000</v>
      </c>
      <c r="F47" s="11">
        <f t="shared" si="0"/>
        <v>0</v>
      </c>
      <c r="H47" s="15"/>
      <c r="I47" s="15"/>
    </row>
    <row r="48" spans="2:9" ht="20.100000000000001" customHeight="1" x14ac:dyDescent="0.25">
      <c r="B48" s="4" t="s">
        <v>154</v>
      </c>
      <c r="C48" s="500" t="s">
        <v>68</v>
      </c>
      <c r="D48" s="6">
        <v>2938229.92</v>
      </c>
      <c r="E48" s="6">
        <v>2592467.92</v>
      </c>
      <c r="F48" s="11">
        <f t="shared" si="0"/>
        <v>345762</v>
      </c>
      <c r="H48" s="15"/>
      <c r="I48" s="15"/>
    </row>
    <row r="49" spans="2:9" ht="20.100000000000001" customHeight="1" x14ac:dyDescent="0.25">
      <c r="B49" s="4" t="s">
        <v>155</v>
      </c>
      <c r="C49" s="500" t="s">
        <v>68</v>
      </c>
      <c r="D49" s="6">
        <v>10595569.65</v>
      </c>
      <c r="E49" s="6">
        <v>9371806.5299999993</v>
      </c>
      <c r="F49" s="11">
        <f t="shared" si="0"/>
        <v>1223763.120000001</v>
      </c>
      <c r="H49" s="15"/>
      <c r="I49" s="15"/>
    </row>
    <row r="50" spans="2:9" ht="20.100000000000001" customHeight="1" x14ac:dyDescent="0.2">
      <c r="C50" s="17" t="s">
        <v>744</v>
      </c>
      <c r="E50" s="11"/>
      <c r="F50" s="11"/>
      <c r="H50" s="15"/>
      <c r="I50" s="15"/>
    </row>
    <row r="51" spans="2:9" s="12" customFormat="1" ht="24.75" customHeight="1" x14ac:dyDescent="0.2">
      <c r="B51" s="12" t="s">
        <v>156</v>
      </c>
      <c r="C51" s="501"/>
      <c r="D51" s="18">
        <f>SUM(D33:D49)</f>
        <v>169798103.86999997</v>
      </c>
      <c r="E51" s="18">
        <f>SUM(E33:E49)</f>
        <v>148012731.17999998</v>
      </c>
      <c r="F51" s="18">
        <f>SUM(F33:F49)</f>
        <v>21785372.689999998</v>
      </c>
      <c r="H51" s="15"/>
      <c r="I51" s="15"/>
    </row>
    <row r="52" spans="2:9" ht="20.100000000000001" customHeight="1" x14ac:dyDescent="0.25">
      <c r="C52" s="500" t="s">
        <v>68</v>
      </c>
      <c r="E52" s="11"/>
      <c r="F52" s="11"/>
    </row>
    <row r="53" spans="2:9" ht="20.100000000000001" customHeight="1" x14ac:dyDescent="0.25">
      <c r="C53" s="500" t="s">
        <v>68</v>
      </c>
      <c r="E53" s="11"/>
      <c r="F53" s="11"/>
    </row>
    <row r="54" spans="2:9" s="15" customFormat="1" ht="24.75" customHeight="1" x14ac:dyDescent="0.2">
      <c r="B54" s="12" t="s">
        <v>157</v>
      </c>
      <c r="C54" s="501">
        <v>19</v>
      </c>
      <c r="D54" s="13"/>
      <c r="E54" s="14"/>
      <c r="F54" s="14"/>
    </row>
    <row r="55" spans="2:9" ht="20.100000000000001" customHeight="1" x14ac:dyDescent="0.25">
      <c r="B55" s="4" t="s">
        <v>158</v>
      </c>
      <c r="C55" s="500" t="s">
        <v>68</v>
      </c>
      <c r="D55" s="6">
        <f>1819970.61-155798.7</f>
        <v>1664171.9100000001</v>
      </c>
      <c r="E55" s="6">
        <v>1509150.21</v>
      </c>
      <c r="F55" s="11">
        <f>D55-E55</f>
        <v>155021.70000000019</v>
      </c>
    </row>
    <row r="56" spans="2:9" ht="20.100000000000001" customHeight="1" x14ac:dyDescent="0.25">
      <c r="B56" s="4" t="s">
        <v>159</v>
      </c>
      <c r="C56" s="500"/>
      <c r="D56" s="6">
        <f>1660237.96-83571.25</f>
        <v>1576666.71</v>
      </c>
      <c r="E56" s="6">
        <v>1309732.6399999999</v>
      </c>
      <c r="F56" s="11">
        <f t="shared" ref="F56:F87" si="1">D56-E56</f>
        <v>266934.07000000007</v>
      </c>
    </row>
    <row r="57" spans="2:9" ht="20.100000000000001" customHeight="1" x14ac:dyDescent="0.25">
      <c r="B57" s="4" t="s">
        <v>160</v>
      </c>
      <c r="C57" s="500" t="s">
        <v>68</v>
      </c>
      <c r="D57" s="6">
        <v>4190500.46</v>
      </c>
      <c r="E57" s="6">
        <v>3667012.24</v>
      </c>
      <c r="F57" s="11">
        <f t="shared" si="1"/>
        <v>523488.21999999974</v>
      </c>
    </row>
    <row r="58" spans="2:9" ht="20.100000000000001" customHeight="1" x14ac:dyDescent="0.25">
      <c r="B58" s="4" t="s">
        <v>161</v>
      </c>
      <c r="C58" s="500" t="s">
        <v>68</v>
      </c>
      <c r="D58" s="6">
        <v>216109.57</v>
      </c>
      <c r="E58" s="6">
        <v>194234.57</v>
      </c>
      <c r="F58" s="11">
        <f t="shared" si="1"/>
        <v>21875</v>
      </c>
    </row>
    <row r="59" spans="2:9" ht="20.100000000000001" customHeight="1" x14ac:dyDescent="0.25">
      <c r="B59" s="4" t="s">
        <v>162</v>
      </c>
      <c r="C59" s="500" t="s">
        <v>68</v>
      </c>
      <c r="D59" s="6">
        <v>714245.77</v>
      </c>
      <c r="E59" s="6">
        <v>539317.30000000005</v>
      </c>
      <c r="F59" s="11">
        <f t="shared" si="1"/>
        <v>174928.46999999997</v>
      </c>
    </row>
    <row r="60" spans="2:9" ht="20.100000000000001" customHeight="1" x14ac:dyDescent="0.25">
      <c r="B60" s="4" t="s">
        <v>163</v>
      </c>
      <c r="C60" s="500" t="s">
        <v>68</v>
      </c>
      <c r="D60" s="6">
        <v>75046.13</v>
      </c>
      <c r="E60" s="6">
        <v>66796.13</v>
      </c>
      <c r="F60" s="11">
        <f t="shared" si="1"/>
        <v>8250</v>
      </c>
    </row>
    <row r="61" spans="2:9" ht="20.100000000000001" customHeight="1" x14ac:dyDescent="0.25">
      <c r="B61" s="4" t="s">
        <v>164</v>
      </c>
      <c r="C61" s="500"/>
      <c r="D61" s="6">
        <v>600</v>
      </c>
      <c r="E61" s="6">
        <v>600</v>
      </c>
      <c r="F61" s="11">
        <f>D61-E61</f>
        <v>0</v>
      </c>
    </row>
    <row r="62" spans="2:9" ht="20.100000000000001" customHeight="1" x14ac:dyDescent="0.25">
      <c r="B62" s="4" t="s">
        <v>165</v>
      </c>
      <c r="C62" s="500"/>
      <c r="D62" s="6">
        <v>11688.9</v>
      </c>
      <c r="E62" s="6">
        <v>11688.9</v>
      </c>
      <c r="F62" s="11">
        <f t="shared" si="1"/>
        <v>0</v>
      </c>
    </row>
    <row r="63" spans="2:9" ht="20.100000000000001" customHeight="1" x14ac:dyDescent="0.25">
      <c r="B63" s="4" t="s">
        <v>166</v>
      </c>
      <c r="C63" s="500"/>
      <c r="D63" s="6">
        <v>180012.9</v>
      </c>
      <c r="E63" s="6">
        <v>170405.4</v>
      </c>
      <c r="F63" s="11">
        <f t="shared" si="1"/>
        <v>9607.5</v>
      </c>
    </row>
    <row r="64" spans="2:9" ht="20.100000000000001" customHeight="1" x14ac:dyDescent="0.25">
      <c r="B64" s="4" t="s">
        <v>167</v>
      </c>
      <c r="C64" s="500"/>
      <c r="D64" s="6">
        <f>50+1562645.45</f>
        <v>1562695.45</v>
      </c>
      <c r="E64" s="6">
        <v>1071257.05</v>
      </c>
      <c r="F64" s="11">
        <f t="shared" ref="F64:F65" si="2">D64-E64</f>
        <v>491438.39999999991</v>
      </c>
    </row>
    <row r="65" spans="2:6" ht="20.100000000000001" customHeight="1" x14ac:dyDescent="0.25">
      <c r="B65" s="4" t="s">
        <v>631</v>
      </c>
      <c r="C65" s="500"/>
      <c r="D65" s="6">
        <v>17800</v>
      </c>
      <c r="E65" s="6">
        <v>17800</v>
      </c>
      <c r="F65" s="11">
        <f t="shared" si="2"/>
        <v>0</v>
      </c>
    </row>
    <row r="66" spans="2:6" ht="20.100000000000001" customHeight="1" x14ac:dyDescent="0.25">
      <c r="B66" s="4" t="s">
        <v>168</v>
      </c>
      <c r="C66" s="500"/>
      <c r="D66" s="6">
        <v>432137.5</v>
      </c>
      <c r="E66" s="6">
        <v>1306.5</v>
      </c>
      <c r="F66" s="11">
        <f t="shared" si="1"/>
        <v>430831</v>
      </c>
    </row>
    <row r="67" spans="2:6" ht="20.100000000000001" customHeight="1" x14ac:dyDescent="0.25">
      <c r="B67" s="4" t="s">
        <v>169</v>
      </c>
      <c r="C67" s="500"/>
      <c r="D67" s="6">
        <v>20000</v>
      </c>
      <c r="E67" s="6">
        <v>20000</v>
      </c>
      <c r="F67" s="11">
        <f t="shared" si="1"/>
        <v>0</v>
      </c>
    </row>
    <row r="68" spans="2:6" ht="20.100000000000001" customHeight="1" x14ac:dyDescent="0.25">
      <c r="B68" s="4" t="s">
        <v>170</v>
      </c>
      <c r="C68" s="500"/>
      <c r="D68" s="6">
        <v>648262.5</v>
      </c>
      <c r="E68" s="6">
        <v>568612.5</v>
      </c>
      <c r="F68" s="11">
        <f t="shared" si="1"/>
        <v>79650</v>
      </c>
    </row>
    <row r="69" spans="2:6" ht="20.100000000000001" customHeight="1" x14ac:dyDescent="0.25">
      <c r="B69" s="4" t="s">
        <v>177</v>
      </c>
      <c r="C69" s="500"/>
      <c r="D69" s="6">
        <v>2168663</v>
      </c>
      <c r="E69" s="6">
        <v>1890183</v>
      </c>
      <c r="F69" s="11">
        <f>D69-E69</f>
        <v>278480</v>
      </c>
    </row>
    <row r="70" spans="2:6" ht="20.100000000000001" customHeight="1" x14ac:dyDescent="0.25">
      <c r="B70" s="4" t="s">
        <v>171</v>
      </c>
      <c r="C70" s="500"/>
      <c r="D70" s="6">
        <v>739985.58</v>
      </c>
      <c r="E70" s="6">
        <v>657764.96</v>
      </c>
      <c r="F70" s="11">
        <f t="shared" si="1"/>
        <v>82220.62</v>
      </c>
    </row>
    <row r="71" spans="2:6" ht="20.100000000000001" customHeight="1" x14ac:dyDescent="0.25">
      <c r="B71" s="4" t="s">
        <v>172</v>
      </c>
      <c r="C71" s="500" t="s">
        <v>68</v>
      </c>
      <c r="D71" s="6">
        <v>10137251.529999999</v>
      </c>
      <c r="E71" s="6">
        <v>7251201.75</v>
      </c>
      <c r="F71" s="11">
        <f>D71-E71</f>
        <v>2886049.7799999993</v>
      </c>
    </row>
    <row r="72" spans="2:6" ht="20.100000000000001" customHeight="1" x14ac:dyDescent="0.25">
      <c r="B72" s="4" t="s">
        <v>173</v>
      </c>
      <c r="C72" s="500"/>
      <c r="D72" s="6">
        <v>630000.01</v>
      </c>
      <c r="E72" s="6">
        <v>630000.01</v>
      </c>
      <c r="F72" s="11">
        <f t="shared" si="1"/>
        <v>0</v>
      </c>
    </row>
    <row r="73" spans="2:6" ht="20.100000000000001" customHeight="1" x14ac:dyDescent="0.25">
      <c r="B73" s="4" t="s">
        <v>174</v>
      </c>
      <c r="C73" s="500"/>
      <c r="D73" s="6">
        <v>615809.30000000005</v>
      </c>
      <c r="E73" s="6">
        <v>615809.30000000005</v>
      </c>
      <c r="F73" s="11">
        <f t="shared" si="1"/>
        <v>0</v>
      </c>
    </row>
    <row r="74" spans="2:6" ht="20.100000000000001" customHeight="1" x14ac:dyDescent="0.25">
      <c r="B74" s="4" t="s">
        <v>175</v>
      </c>
      <c r="C74" s="500"/>
      <c r="D74" s="6">
        <v>2316529.2400000002</v>
      </c>
      <c r="E74" s="6">
        <v>2079079.05</v>
      </c>
      <c r="F74" s="11">
        <f>D74-E74</f>
        <v>237450.19000000018</v>
      </c>
    </row>
    <row r="75" spans="2:6" ht="20.100000000000001" customHeight="1" x14ac:dyDescent="0.25">
      <c r="B75" s="4" t="s">
        <v>176</v>
      </c>
      <c r="C75" s="500"/>
      <c r="D75" s="6">
        <v>25467.17</v>
      </c>
      <c r="E75" s="6">
        <v>25467.17</v>
      </c>
      <c r="F75" s="11">
        <f t="shared" ref="F75:F79" si="3">D75-E75</f>
        <v>0</v>
      </c>
    </row>
    <row r="76" spans="2:6" ht="15.75" hidden="1" customHeight="1" x14ac:dyDescent="0.25">
      <c r="B76" s="4" t="s">
        <v>178</v>
      </c>
      <c r="C76" s="500"/>
      <c r="F76" s="11">
        <f t="shared" si="3"/>
        <v>0</v>
      </c>
    </row>
    <row r="77" spans="2:6" ht="20.100000000000001" customHeight="1" x14ac:dyDescent="0.25">
      <c r="B77" s="4" t="s">
        <v>179</v>
      </c>
      <c r="C77" s="500"/>
      <c r="D77" s="6">
        <v>18540</v>
      </c>
      <c r="E77" s="6">
        <v>18540</v>
      </c>
      <c r="F77" s="11">
        <f t="shared" si="3"/>
        <v>0</v>
      </c>
    </row>
    <row r="78" spans="2:6" ht="20.100000000000001" customHeight="1" x14ac:dyDescent="0.25">
      <c r="B78" s="4" t="s">
        <v>180</v>
      </c>
      <c r="C78" s="500" t="s">
        <v>68</v>
      </c>
      <c r="D78" s="6">
        <v>6310.25</v>
      </c>
      <c r="E78" s="6">
        <v>5640.25</v>
      </c>
      <c r="F78" s="11">
        <f t="shared" si="3"/>
        <v>670</v>
      </c>
    </row>
    <row r="79" spans="2:6" ht="15.75" hidden="1" customHeight="1" x14ac:dyDescent="0.25">
      <c r="B79" s="4" t="s">
        <v>181</v>
      </c>
      <c r="C79" s="500"/>
      <c r="F79" s="11">
        <f t="shared" si="3"/>
        <v>0</v>
      </c>
    </row>
    <row r="80" spans="2:6" ht="15.75" hidden="1" customHeight="1" x14ac:dyDescent="0.25">
      <c r="B80" s="4" t="s">
        <v>182</v>
      </c>
      <c r="C80" s="500"/>
      <c r="F80" s="11">
        <f t="shared" ref="F80" si="4">D80-E80</f>
        <v>0</v>
      </c>
    </row>
    <row r="81" spans="2:8" ht="20.100000000000001" customHeight="1" x14ac:dyDescent="0.25">
      <c r="B81" s="4" t="s">
        <v>183</v>
      </c>
      <c r="C81" s="500"/>
      <c r="D81" s="6">
        <v>314200</v>
      </c>
      <c r="E81" s="6">
        <v>314200</v>
      </c>
      <c r="F81" s="11">
        <f t="shared" si="1"/>
        <v>0</v>
      </c>
    </row>
    <row r="82" spans="2:8" ht="20.100000000000001" customHeight="1" x14ac:dyDescent="0.25">
      <c r="B82" s="4" t="s">
        <v>184</v>
      </c>
      <c r="C82" s="500"/>
      <c r="D82" s="6">
        <v>3431767.83</v>
      </c>
      <c r="E82" s="6">
        <v>2131317.83</v>
      </c>
      <c r="F82" s="11">
        <f t="shared" si="1"/>
        <v>1300450</v>
      </c>
    </row>
    <row r="83" spans="2:8" ht="20.100000000000001" customHeight="1" x14ac:dyDescent="0.25">
      <c r="B83" s="4" t="s">
        <v>185</v>
      </c>
      <c r="C83" s="500"/>
      <c r="D83" s="6">
        <v>182033149.37</v>
      </c>
      <c r="E83" s="6">
        <v>181446991</v>
      </c>
      <c r="F83" s="11">
        <f t="shared" si="1"/>
        <v>586158.37000000477</v>
      </c>
      <c r="H83" s="466"/>
    </row>
    <row r="84" spans="2:8" ht="20.100000000000001" customHeight="1" x14ac:dyDescent="0.25">
      <c r="B84" s="4" t="s">
        <v>186</v>
      </c>
      <c r="C84" s="500"/>
      <c r="D84" s="6">
        <v>3466320</v>
      </c>
      <c r="E84" s="6">
        <v>3323320</v>
      </c>
      <c r="F84" s="11">
        <f t="shared" si="1"/>
        <v>143000</v>
      </c>
    </row>
    <row r="85" spans="2:8" ht="20.100000000000001" customHeight="1" x14ac:dyDescent="0.25">
      <c r="B85" s="4" t="s">
        <v>750</v>
      </c>
      <c r="C85" s="500"/>
      <c r="D85" s="6">
        <v>17535</v>
      </c>
      <c r="E85" s="6">
        <v>16560</v>
      </c>
      <c r="F85" s="11">
        <f t="shared" ref="F85" si="5">D85-E85</f>
        <v>975</v>
      </c>
    </row>
    <row r="86" spans="2:8" ht="20.100000000000001" hidden="1" customHeight="1" x14ac:dyDescent="0.25">
      <c r="B86" s="4" t="s">
        <v>187</v>
      </c>
      <c r="C86" s="500"/>
      <c r="F86" s="11">
        <f t="shared" si="1"/>
        <v>0</v>
      </c>
    </row>
    <row r="87" spans="2:8" ht="20.100000000000001" hidden="1" customHeight="1" x14ac:dyDescent="0.25">
      <c r="B87" s="4" t="s">
        <v>187</v>
      </c>
      <c r="C87" s="503"/>
      <c r="D87" s="6">
        <v>0</v>
      </c>
      <c r="E87" s="11">
        <v>0</v>
      </c>
      <c r="F87" s="11">
        <f t="shared" si="1"/>
        <v>0</v>
      </c>
    </row>
    <row r="88" spans="2:8" ht="20.100000000000001" customHeight="1" x14ac:dyDescent="0.25">
      <c r="B88" s="22"/>
      <c r="C88" s="17" t="s">
        <v>744</v>
      </c>
      <c r="E88" s="11"/>
      <c r="F88" s="11"/>
    </row>
    <row r="89" spans="2:8" s="12" customFormat="1" ht="24.75" customHeight="1" x14ac:dyDescent="0.2">
      <c r="B89" s="12" t="s">
        <v>188</v>
      </c>
      <c r="C89" s="501" t="s">
        <v>68</v>
      </c>
      <c r="D89" s="18">
        <f>SUM(D55:D87)</f>
        <v>217231466.08000001</v>
      </c>
      <c r="E89" s="18">
        <f>SUM(E55:E87)</f>
        <v>209553987.75999999</v>
      </c>
      <c r="F89" s="18">
        <f>SUM(F55:F87)</f>
        <v>7677478.320000005</v>
      </c>
    </row>
    <row r="90" spans="2:8" ht="20.100000000000001" customHeight="1" x14ac:dyDescent="0.25">
      <c r="C90" s="500" t="s">
        <v>68</v>
      </c>
      <c r="E90" s="11"/>
      <c r="F90" s="11"/>
    </row>
    <row r="91" spans="2:8" ht="20.100000000000001" customHeight="1" x14ac:dyDescent="0.25">
      <c r="C91" s="500" t="s">
        <v>68</v>
      </c>
      <c r="F91" s="11"/>
    </row>
    <row r="92" spans="2:8" s="15" customFormat="1" ht="24.75" customHeight="1" x14ac:dyDescent="0.2">
      <c r="B92" s="12" t="s">
        <v>189</v>
      </c>
      <c r="C92" s="501">
        <v>20</v>
      </c>
      <c r="D92" s="13"/>
      <c r="E92" s="14"/>
      <c r="F92" s="14"/>
    </row>
    <row r="93" spans="2:8" ht="20.100000000000001" customHeight="1" x14ac:dyDescent="0.25">
      <c r="B93" s="4" t="s">
        <v>190</v>
      </c>
      <c r="C93" s="500" t="s">
        <v>68</v>
      </c>
      <c r="D93" s="6">
        <v>1534530.79</v>
      </c>
      <c r="E93" s="6">
        <v>1455890.26</v>
      </c>
      <c r="F93" s="11">
        <f>D93-E93</f>
        <v>78640.530000000028</v>
      </c>
      <c r="H93" s="15"/>
    </row>
    <row r="94" spans="2:8" ht="20.100000000000001" customHeight="1" x14ac:dyDescent="0.25">
      <c r="B94" s="4" t="s">
        <v>191</v>
      </c>
      <c r="C94" s="500"/>
      <c r="D94" s="6">
        <v>228825.60000000001</v>
      </c>
      <c r="E94" s="6">
        <v>228825.60000000001</v>
      </c>
      <c r="F94" s="11">
        <f t="shared" ref="F94:F107" si="6">D94-E94</f>
        <v>0</v>
      </c>
      <c r="H94" s="15"/>
    </row>
    <row r="95" spans="2:8" ht="20.100000000000001" customHeight="1" x14ac:dyDescent="0.25">
      <c r="B95" s="4" t="s">
        <v>192</v>
      </c>
      <c r="C95" s="500" t="s">
        <v>68</v>
      </c>
      <c r="D95" s="6">
        <v>33753.910000000003</v>
      </c>
      <c r="E95" s="6">
        <v>33753.910000000003</v>
      </c>
      <c r="F95" s="11">
        <f t="shared" si="6"/>
        <v>0</v>
      </c>
      <c r="H95" s="15"/>
    </row>
    <row r="96" spans="2:8" ht="20.100000000000001" customHeight="1" x14ac:dyDescent="0.25">
      <c r="B96" s="4" t="s">
        <v>193</v>
      </c>
      <c r="C96" s="500" t="s">
        <v>68</v>
      </c>
      <c r="D96" s="6">
        <v>20616.05</v>
      </c>
      <c r="E96" s="6">
        <v>20616.05</v>
      </c>
      <c r="F96" s="11">
        <f t="shared" si="6"/>
        <v>0</v>
      </c>
      <c r="H96" s="15"/>
    </row>
    <row r="97" spans="2:8" ht="20.100000000000001" customHeight="1" x14ac:dyDescent="0.25">
      <c r="B97" s="4" t="s">
        <v>194</v>
      </c>
      <c r="C97" s="500" t="s">
        <v>68</v>
      </c>
      <c r="D97" s="6">
        <v>6432332.8399999999</v>
      </c>
      <c r="E97" s="6">
        <v>5832321.8399999999</v>
      </c>
      <c r="F97" s="11">
        <f t="shared" si="6"/>
        <v>600011</v>
      </c>
      <c r="H97" s="15"/>
    </row>
    <row r="98" spans="2:8" ht="20.100000000000001" customHeight="1" x14ac:dyDescent="0.25">
      <c r="B98" s="4" t="s">
        <v>195</v>
      </c>
      <c r="C98" s="500"/>
      <c r="D98" s="6">
        <v>42706.2</v>
      </c>
      <c r="E98" s="6">
        <v>42706.2</v>
      </c>
      <c r="F98" s="11">
        <f>D98-E98</f>
        <v>0</v>
      </c>
      <c r="H98" s="15"/>
    </row>
    <row r="99" spans="2:8" ht="20.100000000000001" customHeight="1" x14ac:dyDescent="0.25">
      <c r="B99" s="4" t="s">
        <v>196</v>
      </c>
      <c r="C99" s="500" t="s">
        <v>68</v>
      </c>
      <c r="D99" s="6">
        <v>95340.61</v>
      </c>
      <c r="E99" s="6">
        <v>90840.61</v>
      </c>
      <c r="F99" s="11">
        <f t="shared" si="6"/>
        <v>4500</v>
      </c>
      <c r="H99" s="15"/>
    </row>
    <row r="100" spans="2:8" ht="20.100000000000001" customHeight="1" x14ac:dyDescent="0.25">
      <c r="B100" s="4" t="s">
        <v>197</v>
      </c>
      <c r="C100" s="500" t="s">
        <v>68</v>
      </c>
      <c r="D100" s="6">
        <v>550757.92000000004</v>
      </c>
      <c r="E100" s="6">
        <v>425948.07</v>
      </c>
      <c r="F100" s="11">
        <f t="shared" si="6"/>
        <v>124809.85000000003</v>
      </c>
      <c r="H100" s="15"/>
    </row>
    <row r="101" spans="2:8" ht="20.100000000000001" customHeight="1" x14ac:dyDescent="0.25">
      <c r="B101" s="4" t="s">
        <v>198</v>
      </c>
      <c r="C101" s="500" t="s">
        <v>68</v>
      </c>
      <c r="D101" s="6">
        <v>188580.71</v>
      </c>
      <c r="E101" s="6">
        <v>163344.85</v>
      </c>
      <c r="F101" s="11">
        <f t="shared" si="6"/>
        <v>25235.859999999986</v>
      </c>
      <c r="H101" s="15"/>
    </row>
    <row r="102" spans="2:8" ht="20.100000000000001" customHeight="1" x14ac:dyDescent="0.25">
      <c r="B102" s="4" t="s">
        <v>199</v>
      </c>
      <c r="C102" s="500" t="s">
        <v>68</v>
      </c>
      <c r="D102" s="6">
        <v>19364.45</v>
      </c>
      <c r="E102" s="6">
        <v>18258.45</v>
      </c>
      <c r="F102" s="11">
        <f>D102-E102</f>
        <v>1106</v>
      </c>
      <c r="H102" s="15"/>
    </row>
    <row r="103" spans="2:8" ht="20.100000000000001" customHeight="1" x14ac:dyDescent="0.25">
      <c r="B103" s="4" t="s">
        <v>200</v>
      </c>
      <c r="C103" s="500" t="s">
        <v>68</v>
      </c>
      <c r="D103" s="6">
        <v>1298615.1299999999</v>
      </c>
      <c r="E103" s="6">
        <v>1273889.48</v>
      </c>
      <c r="F103" s="11">
        <f t="shared" si="6"/>
        <v>24725.649999999907</v>
      </c>
      <c r="H103" s="15"/>
    </row>
    <row r="104" spans="2:8" ht="20.100000000000001" customHeight="1" x14ac:dyDescent="0.2">
      <c r="B104" s="4" t="s">
        <v>201</v>
      </c>
      <c r="C104" s="542"/>
      <c r="D104" s="6">
        <v>5083419.87</v>
      </c>
      <c r="E104" s="6">
        <v>4477910.25</v>
      </c>
      <c r="F104" s="11">
        <f t="shared" si="6"/>
        <v>605509.62000000011</v>
      </c>
      <c r="H104" s="15"/>
    </row>
    <row r="105" spans="2:8" ht="20.100000000000001" customHeight="1" x14ac:dyDescent="0.25">
      <c r="B105" s="4" t="s">
        <v>202</v>
      </c>
      <c r="C105" s="500"/>
      <c r="D105" s="6">
        <v>921578.94</v>
      </c>
      <c r="E105" s="6">
        <v>819181.28</v>
      </c>
      <c r="F105" s="11">
        <f t="shared" si="6"/>
        <v>102397.65999999992</v>
      </c>
      <c r="H105" s="15"/>
    </row>
    <row r="106" spans="2:8" ht="20.100000000000001" customHeight="1" x14ac:dyDescent="0.25">
      <c r="B106" s="4" t="s">
        <v>203</v>
      </c>
      <c r="C106" s="500" t="s">
        <v>68</v>
      </c>
      <c r="D106" s="6">
        <v>3208284.86</v>
      </c>
      <c r="E106" s="6">
        <v>2849420.03</v>
      </c>
      <c r="F106" s="11">
        <f>D106-E106</f>
        <v>358864.83000000007</v>
      </c>
      <c r="H106" s="15"/>
    </row>
    <row r="107" spans="2:8" ht="20.100000000000001" customHeight="1" x14ac:dyDescent="0.25">
      <c r="B107" s="4" t="s">
        <v>204</v>
      </c>
      <c r="C107" s="500"/>
      <c r="D107" s="6">
        <v>150574.04999999999</v>
      </c>
      <c r="E107" s="6">
        <v>133843.6</v>
      </c>
      <c r="F107" s="11">
        <f t="shared" si="6"/>
        <v>16730.449999999983</v>
      </c>
      <c r="H107" s="15"/>
    </row>
    <row r="108" spans="2:8" ht="20.100000000000001" customHeight="1" x14ac:dyDescent="0.2">
      <c r="C108" s="17" t="s">
        <v>744</v>
      </c>
      <c r="E108" s="11"/>
      <c r="F108" s="11"/>
      <c r="H108" s="15"/>
    </row>
    <row r="109" spans="2:8" s="12" customFormat="1" ht="24.75" customHeight="1" x14ac:dyDescent="0.2">
      <c r="B109" s="12" t="s">
        <v>205</v>
      </c>
      <c r="C109" s="501" t="s">
        <v>68</v>
      </c>
      <c r="D109" s="18">
        <f>SUM(D93:D107)</f>
        <v>19809281.930000003</v>
      </c>
      <c r="E109" s="18">
        <f>SUM(E93:E107)</f>
        <v>17866750.48</v>
      </c>
      <c r="F109" s="18">
        <f>SUM(F93:F107)</f>
        <v>1942531.4500000002</v>
      </c>
      <c r="H109" s="15"/>
    </row>
    <row r="110" spans="2:8" ht="20.100000000000001" customHeight="1" x14ac:dyDescent="0.25">
      <c r="C110" s="500" t="s">
        <v>68</v>
      </c>
      <c r="D110" s="546"/>
      <c r="E110" s="23"/>
      <c r="F110" s="11"/>
      <c r="H110" s="15"/>
    </row>
    <row r="111" spans="2:8" ht="20.100000000000001" customHeight="1" x14ac:dyDescent="0.25">
      <c r="C111" s="500" t="s">
        <v>68</v>
      </c>
      <c r="E111" s="11"/>
      <c r="F111" s="11"/>
      <c r="H111" s="15"/>
    </row>
    <row r="112" spans="2:8" s="15" customFormat="1" ht="24.75" customHeight="1" x14ac:dyDescent="0.2">
      <c r="B112" s="12" t="s">
        <v>789</v>
      </c>
      <c r="C112" s="501">
        <v>21</v>
      </c>
      <c r="D112" s="13"/>
      <c r="E112" s="14"/>
      <c r="F112" s="14"/>
    </row>
    <row r="113" spans="2:8" ht="20.100000000000001" customHeight="1" x14ac:dyDescent="0.25">
      <c r="B113" s="4" t="s">
        <v>888</v>
      </c>
      <c r="C113" s="500" t="s">
        <v>68</v>
      </c>
      <c r="D113" s="6">
        <v>121527</v>
      </c>
      <c r="E113" s="6">
        <v>121527</v>
      </c>
      <c r="F113" s="11">
        <f>D113-E113</f>
        <v>0</v>
      </c>
      <c r="H113" s="15"/>
    </row>
    <row r="114" spans="2:8" ht="18" customHeight="1" x14ac:dyDescent="0.25">
      <c r="B114" s="4" t="s">
        <v>206</v>
      </c>
      <c r="C114" s="500"/>
      <c r="D114" s="6">
        <v>1776167.95</v>
      </c>
      <c r="E114" s="6">
        <v>1741057.95</v>
      </c>
      <c r="F114" s="11">
        <f t="shared" ref="F114" si="7">D114-E114</f>
        <v>35110</v>
      </c>
      <c r="H114" s="15" t="s">
        <v>0</v>
      </c>
    </row>
    <row r="115" spans="2:8" ht="20.100000000000001" customHeight="1" x14ac:dyDescent="0.25">
      <c r="B115" s="4" t="s">
        <v>207</v>
      </c>
      <c r="C115" s="500"/>
      <c r="D115" s="6">
        <v>8334104.25</v>
      </c>
      <c r="E115" s="6">
        <v>6580318.6900000004</v>
      </c>
      <c r="F115" s="11">
        <f>D115-E115</f>
        <v>1753785.5599999996</v>
      </c>
      <c r="H115" s="15"/>
    </row>
    <row r="116" spans="2:8" ht="20.100000000000001" customHeight="1" x14ac:dyDescent="0.25">
      <c r="B116" s="4" t="s">
        <v>866</v>
      </c>
      <c r="C116" s="500"/>
      <c r="D116" s="6">
        <v>125471.86</v>
      </c>
      <c r="E116" s="6">
        <v>0</v>
      </c>
      <c r="F116" s="11">
        <f>D116-E116</f>
        <v>125471.86</v>
      </c>
      <c r="H116" s="15"/>
    </row>
    <row r="117" spans="2:8" ht="20.100000000000001" customHeight="1" x14ac:dyDescent="0.25">
      <c r="B117" s="4" t="s">
        <v>208</v>
      </c>
      <c r="C117" s="500"/>
      <c r="D117" s="6">
        <v>62200</v>
      </c>
      <c r="E117" s="6">
        <v>62200</v>
      </c>
      <c r="F117" s="11">
        <f>D117-E117</f>
        <v>0</v>
      </c>
      <c r="H117" s="15"/>
    </row>
    <row r="118" spans="2:8" ht="20.100000000000001" customHeight="1" x14ac:dyDescent="0.25">
      <c r="B118" s="4" t="s">
        <v>751</v>
      </c>
      <c r="C118" s="500"/>
      <c r="D118" s="6">
        <v>223115861.97999999</v>
      </c>
      <c r="E118" s="6">
        <v>223115861.97999999</v>
      </c>
      <c r="F118" s="11">
        <f>D118-E118</f>
        <v>0</v>
      </c>
      <c r="H118" s="15"/>
    </row>
    <row r="119" spans="2:8" x14ac:dyDescent="0.2">
      <c r="C119" s="17" t="s">
        <v>744</v>
      </c>
      <c r="E119" s="11"/>
      <c r="F119" s="11"/>
    </row>
    <row r="120" spans="2:8" s="12" customFormat="1" ht="24.75" customHeight="1" x14ac:dyDescent="0.2">
      <c r="B120" s="12" t="s">
        <v>209</v>
      </c>
      <c r="C120" s="501" t="s">
        <v>68</v>
      </c>
      <c r="D120" s="18">
        <f>SUM(D113:D119)</f>
        <v>233535333.03999999</v>
      </c>
      <c r="E120" s="19">
        <f>SUM(E113:E119)</f>
        <v>231620965.62</v>
      </c>
      <c r="F120" s="19">
        <f>SUM(F113:F119)</f>
        <v>1914367.4199999997</v>
      </c>
    </row>
    <row r="121" spans="2:8" ht="20.100000000000001" customHeight="1" x14ac:dyDescent="0.25">
      <c r="C121" s="500" t="s">
        <v>68</v>
      </c>
      <c r="E121" s="11"/>
      <c r="F121" s="11"/>
    </row>
    <row r="122" spans="2:8" ht="20.100000000000001" customHeight="1" x14ac:dyDescent="0.25">
      <c r="C122" s="500" t="s">
        <v>68</v>
      </c>
      <c r="D122" s="20"/>
      <c r="E122" s="11"/>
      <c r="F122" s="11"/>
    </row>
    <row r="123" spans="2:8" s="15" customFormat="1" ht="24.75" customHeight="1" x14ac:dyDescent="0.2">
      <c r="B123" s="12" t="s">
        <v>210</v>
      </c>
      <c r="C123" s="501">
        <v>22</v>
      </c>
      <c r="D123" s="13"/>
      <c r="E123" s="14"/>
      <c r="F123" s="14"/>
    </row>
    <row r="124" spans="2:8" s="24" customFormat="1" ht="20.100000000000001" customHeight="1" x14ac:dyDescent="0.25">
      <c r="B124" s="24" t="s">
        <v>211</v>
      </c>
      <c r="C124" s="500" t="s">
        <v>68</v>
      </c>
      <c r="D124" s="6">
        <v>68644.08</v>
      </c>
      <c r="E124" s="6">
        <v>68644.08</v>
      </c>
      <c r="F124" s="11">
        <f>D124-E124</f>
        <v>0</v>
      </c>
      <c r="G124" s="11">
        <f>E124-F124</f>
        <v>68644.08</v>
      </c>
    </row>
    <row r="125" spans="2:8" s="24" customFormat="1" ht="20.100000000000001" customHeight="1" x14ac:dyDescent="0.25">
      <c r="B125" s="24" t="s">
        <v>212</v>
      </c>
      <c r="C125" s="500" t="s">
        <v>68</v>
      </c>
      <c r="D125" s="6">
        <v>-74002</v>
      </c>
      <c r="E125" s="6">
        <v>-62596.25</v>
      </c>
      <c r="F125" s="11">
        <f>D125-E125</f>
        <v>-11405.75</v>
      </c>
      <c r="G125" s="11"/>
    </row>
    <row r="126" spans="2:8" x14ac:dyDescent="0.2">
      <c r="B126" s="21"/>
      <c r="C126" s="17" t="s">
        <v>744</v>
      </c>
      <c r="D126" s="11"/>
      <c r="E126" s="11"/>
      <c r="F126" s="11"/>
    </row>
    <row r="127" spans="2:8" s="12" customFormat="1" ht="24.75" customHeight="1" x14ac:dyDescent="0.2">
      <c r="B127" s="12" t="s">
        <v>213</v>
      </c>
      <c r="C127" s="501" t="s">
        <v>68</v>
      </c>
      <c r="D127" s="18">
        <f>SUM(D124:D126)</f>
        <v>-5357.9199999999983</v>
      </c>
      <c r="E127" s="19">
        <f>SUM(E124:E126)</f>
        <v>6047.8300000000017</v>
      </c>
      <c r="F127" s="19">
        <f>SUM(F124:F126)</f>
        <v>-11405.75</v>
      </c>
    </row>
    <row r="128" spans="2:8" ht="20.100000000000001" customHeight="1" x14ac:dyDescent="0.25">
      <c r="C128" s="500" t="s">
        <v>68</v>
      </c>
      <c r="D128" s="11"/>
      <c r="E128" s="11"/>
      <c r="F128" s="11"/>
    </row>
    <row r="129" spans="3:6" ht="15.75" x14ac:dyDescent="0.25">
      <c r="C129" s="500"/>
      <c r="D129" s="25"/>
      <c r="E129" s="11"/>
      <c r="F129" s="11"/>
    </row>
    <row r="130" spans="3:6" ht="15.75" x14ac:dyDescent="0.25">
      <c r="C130" s="500"/>
      <c r="E130" s="11"/>
      <c r="F130" s="11"/>
    </row>
    <row r="131" spans="3:6" ht="15.75" x14ac:dyDescent="0.25">
      <c r="C131" s="500"/>
      <c r="D131" s="11"/>
      <c r="E131" s="11"/>
      <c r="F131" s="11"/>
    </row>
    <row r="132" spans="3:6" ht="15.75" x14ac:dyDescent="0.25">
      <c r="C132" s="500"/>
      <c r="D132" s="11"/>
      <c r="E132" s="11"/>
      <c r="F132" s="11"/>
    </row>
    <row r="133" spans="3:6" ht="15.75" x14ac:dyDescent="0.25">
      <c r="C133" s="500"/>
      <c r="D133" s="11"/>
      <c r="E133" s="11"/>
      <c r="F133" s="11"/>
    </row>
    <row r="134" spans="3:6" ht="15.75" x14ac:dyDescent="0.25">
      <c r="C134" s="500"/>
      <c r="D134" s="11"/>
      <c r="E134" s="11"/>
      <c r="F134" s="11"/>
    </row>
    <row r="135" spans="3:6" ht="15.75" x14ac:dyDescent="0.25">
      <c r="C135" s="500"/>
      <c r="D135" s="11"/>
      <c r="E135" s="11"/>
      <c r="F135" s="11"/>
    </row>
    <row r="136" spans="3:6" ht="15.75" x14ac:dyDescent="0.25">
      <c r="C136" s="500"/>
      <c r="D136" s="11"/>
      <c r="E136" s="11"/>
      <c r="F136" s="11"/>
    </row>
    <row r="137" spans="3:6" ht="15.75" x14ac:dyDescent="0.25">
      <c r="C137" s="500"/>
      <c r="D137" s="11"/>
      <c r="E137" s="11"/>
      <c r="F137" s="11"/>
    </row>
    <row r="138" spans="3:6" ht="15.75" x14ac:dyDescent="0.25">
      <c r="C138" s="500"/>
      <c r="D138" s="11"/>
      <c r="E138" s="11"/>
      <c r="F138" s="11"/>
    </row>
    <row r="139" spans="3:6" ht="15.75" x14ac:dyDescent="0.25">
      <c r="C139" s="500"/>
      <c r="D139" s="11"/>
      <c r="E139" s="11"/>
      <c r="F139" s="11"/>
    </row>
    <row r="140" spans="3:6" ht="15.75" x14ac:dyDescent="0.25">
      <c r="C140" s="500"/>
      <c r="D140" s="11"/>
      <c r="E140" s="11"/>
      <c r="F140" s="11"/>
    </row>
    <row r="141" spans="3:6" ht="15.75" x14ac:dyDescent="0.25">
      <c r="C141" s="500"/>
      <c r="D141" s="11"/>
      <c r="E141" s="11"/>
      <c r="F141" s="11"/>
    </row>
    <row r="142" spans="3:6" ht="15.75" x14ac:dyDescent="0.25">
      <c r="C142" s="500"/>
      <c r="D142" s="11"/>
      <c r="E142" s="11"/>
      <c r="F142" s="11"/>
    </row>
    <row r="143" spans="3:6" ht="15.75" x14ac:dyDescent="0.25">
      <c r="C143" s="500"/>
      <c r="D143" s="11"/>
      <c r="E143" s="11"/>
      <c r="F143" s="11"/>
    </row>
    <row r="144" spans="3:6" ht="15.75" x14ac:dyDescent="0.25">
      <c r="C144" s="500"/>
      <c r="D144" s="11"/>
      <c r="E144" s="11"/>
      <c r="F144" s="11"/>
    </row>
    <row r="145" spans="3:6" ht="15.75" x14ac:dyDescent="0.25">
      <c r="C145" s="500"/>
      <c r="D145" s="11"/>
      <c r="E145" s="11"/>
      <c r="F145" s="11"/>
    </row>
    <row r="146" spans="3:6" ht="15.75" x14ac:dyDescent="0.25">
      <c r="C146" s="500"/>
      <c r="D146" s="11"/>
      <c r="E146" s="11"/>
      <c r="F146" s="11"/>
    </row>
    <row r="147" spans="3:6" ht="15.75" x14ac:dyDescent="0.25">
      <c r="C147" s="500"/>
      <c r="D147" s="11"/>
      <c r="E147" s="11"/>
      <c r="F147" s="11"/>
    </row>
    <row r="148" spans="3:6" ht="15.75" x14ac:dyDescent="0.25">
      <c r="C148" s="500"/>
      <c r="D148" s="11"/>
      <c r="E148" s="11"/>
      <c r="F148" s="11"/>
    </row>
    <row r="149" spans="3:6" ht="15.75" x14ac:dyDescent="0.25">
      <c r="C149" s="500"/>
      <c r="D149" s="11"/>
      <c r="E149" s="11"/>
      <c r="F149" s="11"/>
    </row>
    <row r="150" spans="3:6" ht="15.75" x14ac:dyDescent="0.25">
      <c r="C150" s="500"/>
      <c r="D150" s="11"/>
      <c r="E150" s="11"/>
      <c r="F150" s="11"/>
    </row>
    <row r="151" spans="3:6" ht="15.75" x14ac:dyDescent="0.25">
      <c r="C151" s="500"/>
      <c r="D151" s="11"/>
      <c r="E151" s="11"/>
      <c r="F151" s="11"/>
    </row>
    <row r="152" spans="3:6" ht="15.75" x14ac:dyDescent="0.25">
      <c r="C152" s="500"/>
      <c r="D152" s="11"/>
      <c r="E152" s="11"/>
      <c r="F152" s="11"/>
    </row>
    <row r="153" spans="3:6" ht="15.75" x14ac:dyDescent="0.25">
      <c r="C153" s="500"/>
      <c r="D153" s="11"/>
      <c r="E153" s="11"/>
      <c r="F153" s="11"/>
    </row>
    <row r="154" spans="3:6" ht="15.75" x14ac:dyDescent="0.25">
      <c r="C154" s="500"/>
      <c r="D154" s="11"/>
      <c r="E154" s="11"/>
      <c r="F154" s="11"/>
    </row>
    <row r="155" spans="3:6" ht="15.75" x14ac:dyDescent="0.25">
      <c r="C155" s="500"/>
      <c r="D155" s="11"/>
      <c r="E155" s="11"/>
      <c r="F155" s="11"/>
    </row>
    <row r="156" spans="3:6" ht="15.75" x14ac:dyDescent="0.25">
      <c r="C156" s="500"/>
      <c r="D156" s="11"/>
      <c r="E156" s="11"/>
      <c r="F156" s="11"/>
    </row>
    <row r="157" spans="3:6" ht="15.75" x14ac:dyDescent="0.25">
      <c r="C157" s="500"/>
      <c r="D157" s="11"/>
      <c r="E157" s="11"/>
      <c r="F157" s="11"/>
    </row>
    <row r="158" spans="3:6" ht="15.75" x14ac:dyDescent="0.25">
      <c r="C158" s="500"/>
      <c r="D158" s="11"/>
      <c r="E158" s="11"/>
      <c r="F158" s="11"/>
    </row>
    <row r="159" spans="3:6" ht="15.75" x14ac:dyDescent="0.25">
      <c r="C159" s="500"/>
      <c r="D159" s="11"/>
      <c r="E159" s="11"/>
      <c r="F159" s="11"/>
    </row>
    <row r="160" spans="3:6" ht="15.75" x14ac:dyDescent="0.25">
      <c r="C160" s="500"/>
      <c r="D160" s="11"/>
      <c r="E160" s="11"/>
      <c r="F160" s="11"/>
    </row>
    <row r="161" spans="3:11" ht="15.75" x14ac:dyDescent="0.25">
      <c r="C161" s="500"/>
      <c r="D161" s="11"/>
      <c r="E161" s="11"/>
      <c r="F161" s="11"/>
    </row>
    <row r="162" spans="3:11" ht="15.75" x14ac:dyDescent="0.25">
      <c r="C162" s="500"/>
      <c r="D162" s="11"/>
      <c r="E162" s="11"/>
      <c r="F162" s="11"/>
    </row>
    <row r="163" spans="3:11" ht="15.75" x14ac:dyDescent="0.25">
      <c r="C163" s="500"/>
      <c r="D163" s="11"/>
      <c r="E163" s="11"/>
      <c r="F163" s="11"/>
    </row>
    <row r="164" spans="3:11" ht="15.75" x14ac:dyDescent="0.25">
      <c r="C164" s="500"/>
      <c r="D164" s="11"/>
      <c r="E164" s="11"/>
      <c r="F164" s="11"/>
    </row>
    <row r="165" spans="3:11" ht="15.75" x14ac:dyDescent="0.25">
      <c r="C165" s="500"/>
      <c r="D165" s="11"/>
      <c r="E165" s="11"/>
      <c r="F165" s="11"/>
    </row>
    <row r="166" spans="3:11" ht="15.75" x14ac:dyDescent="0.25">
      <c r="C166" s="500"/>
      <c r="D166" s="11"/>
      <c r="E166" s="11"/>
      <c r="F166" s="11"/>
    </row>
    <row r="167" spans="3:11" ht="15.75" x14ac:dyDescent="0.25">
      <c r="C167" s="500"/>
      <c r="D167" s="11"/>
      <c r="E167" s="11"/>
      <c r="F167" s="11"/>
    </row>
    <row r="168" spans="3:11" ht="15.75" x14ac:dyDescent="0.25">
      <c r="C168" s="500"/>
      <c r="D168" s="11"/>
      <c r="E168" s="11"/>
      <c r="F168" s="11"/>
    </row>
    <row r="169" spans="3:11" ht="15.75" x14ac:dyDescent="0.25">
      <c r="C169" s="500"/>
      <c r="D169" s="11"/>
      <c r="E169" s="11"/>
      <c r="F169" s="11"/>
    </row>
    <row r="170" spans="3:11" ht="15.75" x14ac:dyDescent="0.25">
      <c r="C170" s="500"/>
      <c r="D170" s="11"/>
      <c r="E170" s="11"/>
      <c r="F170" s="11"/>
    </row>
    <row r="171" spans="3:11" ht="15.75" x14ac:dyDescent="0.25">
      <c r="C171" s="500"/>
      <c r="D171" s="11"/>
      <c r="E171" s="11"/>
      <c r="F171" s="11"/>
    </row>
    <row r="172" spans="3:11" ht="15.75" x14ac:dyDescent="0.25">
      <c r="C172" s="500"/>
      <c r="D172" s="11"/>
      <c r="E172" s="11"/>
      <c r="F172" s="11"/>
    </row>
    <row r="173" spans="3:11" ht="15.75" x14ac:dyDescent="0.25">
      <c r="C173" s="500"/>
      <c r="D173" s="11"/>
      <c r="E173" s="11"/>
      <c r="F173" s="11"/>
    </row>
    <row r="174" spans="3:11" ht="15.75" x14ac:dyDescent="0.25">
      <c r="C174" s="500"/>
      <c r="D174" s="11"/>
      <c r="E174" s="11"/>
      <c r="F174" s="11"/>
      <c r="J174" s="26"/>
    </row>
    <row r="175" spans="3:11" ht="15.75" x14ac:dyDescent="0.25">
      <c r="C175" s="500"/>
      <c r="D175" s="11"/>
      <c r="E175" s="11"/>
      <c r="F175" s="11"/>
    </row>
    <row r="176" spans="3:11" ht="15.75" x14ac:dyDescent="0.25">
      <c r="C176" s="500"/>
      <c r="D176" s="11"/>
      <c r="E176" s="11"/>
      <c r="F176" s="11"/>
      <c r="K176" s="26"/>
    </row>
    <row r="177" spans="3:14" ht="15.75" x14ac:dyDescent="0.25">
      <c r="C177" s="500"/>
      <c r="D177" s="11"/>
      <c r="E177" s="11"/>
      <c r="F177" s="11"/>
    </row>
    <row r="178" spans="3:14" ht="15.75" x14ac:dyDescent="0.25">
      <c r="C178" s="500"/>
      <c r="D178" s="11"/>
      <c r="E178" s="11"/>
      <c r="F178" s="11"/>
    </row>
    <row r="179" spans="3:14" ht="15.75" x14ac:dyDescent="0.25">
      <c r="C179" s="500"/>
      <c r="D179" s="11"/>
      <c r="E179" s="11"/>
      <c r="F179" s="11"/>
    </row>
    <row r="180" spans="3:14" ht="15.75" x14ac:dyDescent="0.25">
      <c r="C180" s="500"/>
      <c r="D180" s="11"/>
      <c r="E180" s="11"/>
      <c r="F180" s="11"/>
      <c r="J180" s="26"/>
    </row>
    <row r="181" spans="3:14" ht="15.75" x14ac:dyDescent="0.25">
      <c r="C181" s="500"/>
      <c r="D181" s="11"/>
      <c r="E181" s="11"/>
      <c r="F181" s="11"/>
    </row>
    <row r="182" spans="3:14" ht="15.75" x14ac:dyDescent="0.25">
      <c r="C182" s="500"/>
      <c r="D182" s="11"/>
      <c r="E182" s="11"/>
      <c r="F182" s="11"/>
      <c r="K182" s="26"/>
    </row>
    <row r="183" spans="3:14" ht="15.75" x14ac:dyDescent="0.25">
      <c r="C183" s="500"/>
      <c r="D183" s="11"/>
      <c r="E183" s="11"/>
      <c r="F183" s="11"/>
      <c r="K183" s="27"/>
    </row>
    <row r="184" spans="3:14" ht="15.75" x14ac:dyDescent="0.25">
      <c r="C184" s="500"/>
      <c r="D184" s="11"/>
      <c r="E184" s="11"/>
      <c r="F184" s="11"/>
    </row>
    <row r="186" spans="3:14" x14ac:dyDescent="0.2">
      <c r="M186" s="498"/>
      <c r="N186" s="498"/>
    </row>
    <row r="187" spans="3:14" x14ac:dyDescent="0.2">
      <c r="L187" s="27"/>
      <c r="M187" s="498"/>
      <c r="N187" s="498"/>
    </row>
    <row r="188" spans="3:14" ht="15.75" x14ac:dyDescent="0.25">
      <c r="L188" s="27"/>
      <c r="M188" s="28"/>
      <c r="N188" s="28"/>
    </row>
    <row r="189" spans="3:14" ht="15.75" x14ac:dyDescent="0.25">
      <c r="L189" s="27"/>
      <c r="M189" s="28"/>
      <c r="N189" s="28"/>
    </row>
    <row r="190" spans="3:14" ht="15.75" x14ac:dyDescent="0.25">
      <c r="L190" s="27"/>
      <c r="M190" s="28"/>
      <c r="N190" s="28"/>
    </row>
    <row r="191" spans="3:14" ht="15.75" x14ac:dyDescent="0.25">
      <c r="L191" s="27"/>
      <c r="M191" s="28"/>
      <c r="N191" s="28"/>
    </row>
    <row r="192" spans="3:14" x14ac:dyDescent="0.2">
      <c r="L192" s="27"/>
    </row>
    <row r="193" spans="12:12" x14ac:dyDescent="0.2">
      <c r="L193" s="27"/>
    </row>
    <row r="194" spans="12:12" x14ac:dyDescent="0.2">
      <c r="L194" s="27"/>
    </row>
    <row r="195" spans="12:12" x14ac:dyDescent="0.2">
      <c r="L195" s="27"/>
    </row>
  </sheetData>
  <pageMargins left="0.70866141732283472" right="0.70866141732283472" top="0.74803149606299213" bottom="0.47244094488188981" header="0.31496062992125984" footer="0.31496062992125984"/>
  <pageSetup scale="50" firstPageNumber="4" fitToHeight="2" orientation="portrait" useFirstPageNumber="1" r:id="rId1"/>
  <rowBreaks count="1" manualBreakCount="1">
    <brk id="67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3:F46"/>
  <sheetViews>
    <sheetView topLeftCell="A6" zoomScale="110" zoomScaleNormal="110" workbookViewId="0">
      <selection activeCell="D12" sqref="D12"/>
    </sheetView>
  </sheetViews>
  <sheetFormatPr baseColWidth="10" defaultColWidth="11.5703125" defaultRowHeight="24.75" customHeight="1" x14ac:dyDescent="0.2"/>
  <cols>
    <col min="1" max="1" width="7.5703125" style="4" customWidth="1"/>
    <col min="2" max="2" width="43.28515625" style="4" customWidth="1"/>
    <col min="3" max="4" width="21.85546875" style="4" customWidth="1"/>
    <col min="5" max="5" width="16" style="29" bestFit="1" customWidth="1"/>
    <col min="6" max="6" width="13.85546875" style="4" bestFit="1" customWidth="1"/>
    <col min="7" max="7" width="20.85546875" style="4" customWidth="1"/>
    <col min="8" max="8" width="36.28515625" style="4" customWidth="1"/>
    <col min="9" max="9" width="8.42578125" style="4" bestFit="1" customWidth="1"/>
    <col min="10" max="10" width="18.7109375" style="4" bestFit="1" customWidth="1"/>
    <col min="11" max="11" width="16.5703125" style="4" bestFit="1" customWidth="1"/>
    <col min="12" max="16384" width="11.5703125" style="4"/>
  </cols>
  <sheetData>
    <row r="3" spans="2:5" ht="24.75" customHeight="1" x14ac:dyDescent="0.25">
      <c r="B3" s="632" t="s">
        <v>222</v>
      </c>
      <c r="C3" s="632"/>
      <c r="D3" s="632"/>
      <c r="E3" s="117"/>
    </row>
    <row r="4" spans="2:5" ht="24.75" customHeight="1" x14ac:dyDescent="0.25">
      <c r="B4" s="632" t="s">
        <v>223</v>
      </c>
      <c r="C4" s="632"/>
      <c r="D4" s="632"/>
      <c r="E4" s="117"/>
    </row>
    <row r="5" spans="2:5" ht="24.75" customHeight="1" x14ac:dyDescent="0.25">
      <c r="B5" s="632" t="s">
        <v>224</v>
      </c>
      <c r="C5" s="632"/>
      <c r="D5" s="632"/>
      <c r="E5" s="117"/>
    </row>
    <row r="6" spans="2:5" ht="35.25" customHeight="1" x14ac:dyDescent="0.25">
      <c r="B6" s="648">
        <v>45930</v>
      </c>
      <c r="C6" s="648"/>
      <c r="D6" s="648"/>
      <c r="E6" s="117"/>
    </row>
    <row r="7" spans="2:5" ht="24.75" customHeight="1" thickBot="1" x14ac:dyDescent="0.3">
      <c r="B7" s="119"/>
      <c r="C7" s="119"/>
      <c r="D7" s="119"/>
      <c r="E7" s="120"/>
    </row>
    <row r="8" spans="2:5" ht="24.75" customHeight="1" thickBot="1" x14ac:dyDescent="0.3">
      <c r="B8" s="121" t="s">
        <v>215</v>
      </c>
      <c r="C8" s="122" t="s">
        <v>225</v>
      </c>
      <c r="D8" s="123" t="s">
        <v>226</v>
      </c>
    </row>
    <row r="9" spans="2:5" ht="15.75" hidden="1" customHeight="1" x14ac:dyDescent="0.2">
      <c r="B9" s="124" t="s">
        <v>227</v>
      </c>
      <c r="C9" s="125"/>
      <c r="D9" s="126">
        <v>0</v>
      </c>
    </row>
    <row r="10" spans="2:5" ht="24.75" customHeight="1" x14ac:dyDescent="0.2">
      <c r="B10" s="124" t="s">
        <v>228</v>
      </c>
      <c r="C10" s="125"/>
      <c r="D10" s="470">
        <v>200000</v>
      </c>
    </row>
    <row r="11" spans="2:5" ht="24.75" customHeight="1" x14ac:dyDescent="0.2">
      <c r="B11" s="127" t="s">
        <v>229</v>
      </c>
      <c r="C11" s="128"/>
      <c r="D11" s="130">
        <v>389797475.81999999</v>
      </c>
    </row>
    <row r="12" spans="2:5" ht="24.75" customHeight="1" x14ac:dyDescent="0.2">
      <c r="B12" s="127" t="s">
        <v>230</v>
      </c>
      <c r="C12" s="128"/>
      <c r="D12" s="130">
        <v>45984.35</v>
      </c>
    </row>
    <row r="13" spans="2:5" ht="24.75" customHeight="1" x14ac:dyDescent="0.2">
      <c r="B13" s="127" t="s">
        <v>231</v>
      </c>
      <c r="C13" s="129">
        <v>59.25</v>
      </c>
      <c r="D13" s="130">
        <v>17547.310000000001</v>
      </c>
    </row>
    <row r="14" spans="2:5" ht="24.75" customHeight="1" x14ac:dyDescent="0.35">
      <c r="B14" s="127" t="s">
        <v>232</v>
      </c>
      <c r="C14" s="128"/>
      <c r="D14" s="131">
        <v>1010725.06</v>
      </c>
    </row>
    <row r="15" spans="2:5" ht="24.75" customHeight="1" x14ac:dyDescent="0.4">
      <c r="B15" s="132" t="s">
        <v>216</v>
      </c>
      <c r="C15" s="133"/>
      <c r="D15" s="134">
        <f>SUM(D9:D14)</f>
        <v>391071732.54000002</v>
      </c>
    </row>
    <row r="16" spans="2:5" ht="24.75" customHeight="1" thickBot="1" x14ac:dyDescent="0.25">
      <c r="B16" s="135"/>
      <c r="C16" s="136"/>
      <c r="D16" s="137"/>
    </row>
    <row r="17" spans="2:6" ht="24.75" customHeight="1" x14ac:dyDescent="0.2">
      <c r="D17" s="138"/>
    </row>
    <row r="18" spans="2:6" ht="24.75" hidden="1" customHeight="1" x14ac:dyDescent="0.2">
      <c r="D18" s="88"/>
    </row>
    <row r="19" spans="2:6" ht="24.75" hidden="1" customHeight="1" x14ac:dyDescent="0.2">
      <c r="C19" s="645" t="s">
        <v>233</v>
      </c>
      <c r="D19" s="138">
        <f>+D13</f>
        <v>17547.310000000001</v>
      </c>
    </row>
    <row r="20" spans="2:6" ht="24.75" hidden="1" customHeight="1" x14ac:dyDescent="0.2">
      <c r="C20" s="646"/>
      <c r="D20" s="139" t="s">
        <v>234</v>
      </c>
    </row>
    <row r="21" spans="2:6" ht="24.75" hidden="1" customHeight="1" x14ac:dyDescent="0.2">
      <c r="C21" s="647"/>
      <c r="D21" s="43">
        <f>+D19*57.5</f>
        <v>1008970.3250000001</v>
      </c>
    </row>
    <row r="22" spans="2:6" ht="24.75" hidden="1" customHeight="1" x14ac:dyDescent="0.2">
      <c r="D22" s="140"/>
    </row>
    <row r="23" spans="2:6" ht="24.75" hidden="1" customHeight="1" x14ac:dyDescent="0.2">
      <c r="C23" s="645" t="s">
        <v>235</v>
      </c>
      <c r="D23" s="141">
        <v>14152.03</v>
      </c>
    </row>
    <row r="24" spans="2:6" ht="24.75" hidden="1" customHeight="1" x14ac:dyDescent="0.35">
      <c r="C24" s="646"/>
      <c r="D24" s="142">
        <v>798174.51</v>
      </c>
    </row>
    <row r="25" spans="2:6" ht="24.75" hidden="1" customHeight="1" x14ac:dyDescent="0.2">
      <c r="C25" s="647"/>
      <c r="D25" s="138">
        <f>SUM(D23:D24)</f>
        <v>812326.54</v>
      </c>
    </row>
    <row r="26" spans="2:6" ht="24.75" hidden="1" customHeight="1" x14ac:dyDescent="0.2">
      <c r="D26" s="140"/>
    </row>
    <row r="27" spans="2:6" ht="24.75" hidden="1" customHeight="1" x14ac:dyDescent="0.2">
      <c r="C27" s="645" t="s">
        <v>236</v>
      </c>
      <c r="D27" s="138">
        <f>+D21</f>
        <v>1008970.3250000001</v>
      </c>
    </row>
    <row r="28" spans="2:6" ht="24.75" hidden="1" customHeight="1" x14ac:dyDescent="0.2">
      <c r="C28" s="646"/>
      <c r="D28" s="138">
        <f>-D25</f>
        <v>-812326.54</v>
      </c>
    </row>
    <row r="29" spans="2:6" ht="24.75" hidden="1" customHeight="1" thickBot="1" x14ac:dyDescent="0.3">
      <c r="C29" s="647"/>
      <c r="D29" s="143">
        <f>SUM(D27:D28)</f>
        <v>196643.78500000003</v>
      </c>
    </row>
    <row r="30" spans="2:6" ht="24.75" hidden="1" customHeight="1" thickTop="1" x14ac:dyDescent="0.2">
      <c r="D30" s="140"/>
      <c r="E30" s="6"/>
    </row>
    <row r="31" spans="2:6" ht="24.75" customHeight="1" x14ac:dyDescent="0.2">
      <c r="B31" s="144"/>
      <c r="C31" s="145"/>
      <c r="E31" s="146"/>
      <c r="F31" s="146"/>
    </row>
    <row r="32" spans="2:6" ht="24.75" customHeight="1" x14ac:dyDescent="0.2">
      <c r="B32" s="144"/>
      <c r="C32" s="145"/>
      <c r="E32" s="146"/>
      <c r="F32" s="146"/>
    </row>
    <row r="33" spans="2:6" ht="24.75" customHeight="1" x14ac:dyDescent="0.2">
      <c r="B33" s="144"/>
      <c r="C33" s="145"/>
      <c r="E33" s="146"/>
      <c r="F33" s="146"/>
    </row>
    <row r="34" spans="2:6" ht="24.75" customHeight="1" x14ac:dyDescent="0.2">
      <c r="B34" s="144"/>
      <c r="C34" s="145"/>
      <c r="E34" s="146"/>
      <c r="F34" s="146"/>
    </row>
    <row r="35" spans="2:6" ht="24.75" customHeight="1" x14ac:dyDescent="0.2">
      <c r="B35" s="144"/>
      <c r="C35" s="145"/>
      <c r="E35" s="146"/>
      <c r="F35" s="146"/>
    </row>
    <row r="36" spans="2:6" ht="24.75" customHeight="1" x14ac:dyDescent="0.2">
      <c r="B36" s="144"/>
      <c r="C36" s="145"/>
      <c r="E36" s="146"/>
      <c r="F36" s="146"/>
    </row>
    <row r="37" spans="2:6" ht="24.75" customHeight="1" x14ac:dyDescent="0.2">
      <c r="B37" s="144"/>
      <c r="C37" s="145"/>
      <c r="E37" s="146"/>
      <c r="F37" s="146"/>
    </row>
    <row r="38" spans="2:6" ht="24.75" customHeight="1" x14ac:dyDescent="0.2">
      <c r="B38" s="144"/>
      <c r="C38" s="145"/>
      <c r="E38" s="146"/>
      <c r="F38" s="146"/>
    </row>
    <row r="39" spans="2:6" ht="24.75" customHeight="1" x14ac:dyDescent="0.2">
      <c r="B39" s="144"/>
      <c r="C39" s="145"/>
      <c r="E39" s="146"/>
      <c r="F39" s="146"/>
    </row>
    <row r="40" spans="2:6" ht="24.75" customHeight="1" x14ac:dyDescent="0.2">
      <c r="B40" s="144"/>
      <c r="C40" s="145"/>
      <c r="E40" s="146"/>
      <c r="F40" s="146"/>
    </row>
    <row r="41" spans="2:6" ht="24.75" customHeight="1" x14ac:dyDescent="0.2">
      <c r="B41" s="144"/>
      <c r="C41" s="145"/>
      <c r="E41" s="146"/>
      <c r="F41" s="146"/>
    </row>
    <row r="42" spans="2:6" ht="24.75" customHeight="1" x14ac:dyDescent="0.2">
      <c r="B42" s="144"/>
      <c r="C42" s="145"/>
      <c r="E42" s="146"/>
      <c r="F42" s="146"/>
    </row>
    <row r="43" spans="2:6" ht="24.75" customHeight="1" x14ac:dyDescent="0.2">
      <c r="B43" s="144"/>
      <c r="C43" s="145"/>
      <c r="E43" s="146"/>
      <c r="F43" s="146"/>
    </row>
    <row r="44" spans="2:6" ht="24.75" customHeight="1" x14ac:dyDescent="0.2">
      <c r="B44" s="144"/>
      <c r="C44" s="145"/>
      <c r="E44" s="146"/>
      <c r="F44" s="146"/>
    </row>
    <row r="45" spans="2:6" ht="24.75" customHeight="1" x14ac:dyDescent="0.2">
      <c r="B45" s="144"/>
      <c r="C45" s="145"/>
      <c r="E45" s="146"/>
      <c r="F45" s="146"/>
    </row>
    <row r="46" spans="2:6" ht="24.75" customHeight="1" x14ac:dyDescent="0.2">
      <c r="B46" s="144"/>
      <c r="C46" s="145"/>
      <c r="E46" s="146"/>
      <c r="F46" s="146"/>
    </row>
  </sheetData>
  <mergeCells count="7">
    <mergeCell ref="C23:C25"/>
    <mergeCell ref="C27:C29"/>
    <mergeCell ref="B3:D3"/>
    <mergeCell ref="B4:D4"/>
    <mergeCell ref="B5:D5"/>
    <mergeCell ref="B6:D6"/>
    <mergeCell ref="C19:C21"/>
  </mergeCells>
  <pageMargins left="0.59055118110236227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2:J212"/>
  <sheetViews>
    <sheetView topLeftCell="A4" zoomScale="90" zoomScaleNormal="90" zoomScaleSheetLayoutView="90" workbookViewId="0">
      <selection activeCell="E12" sqref="E12"/>
    </sheetView>
  </sheetViews>
  <sheetFormatPr baseColWidth="10" defaultColWidth="11.5703125" defaultRowHeight="24.75" customHeight="1" x14ac:dyDescent="0.2"/>
  <cols>
    <col min="1" max="1" width="5.5703125" style="4" customWidth="1"/>
    <col min="2" max="2" width="37.140625" style="4" customWidth="1"/>
    <col min="3" max="3" width="20.7109375" style="4" hidden="1" customWidth="1"/>
    <col min="4" max="4" width="19.5703125" style="4" hidden="1" customWidth="1"/>
    <col min="5" max="5" width="25" style="4" bestFit="1" customWidth="1"/>
    <col min="6" max="6" width="7.140625" style="4" customWidth="1"/>
    <col min="7" max="7" width="6.5703125" style="4" customWidth="1"/>
    <col min="8" max="8" width="20.5703125" style="4" bestFit="1" customWidth="1"/>
    <col min="9" max="9" width="8.42578125" style="4" bestFit="1" customWidth="1"/>
    <col min="10" max="10" width="20.5703125" style="4" bestFit="1" customWidth="1"/>
    <col min="11" max="11" width="16.5703125" style="4" bestFit="1" customWidth="1"/>
    <col min="12" max="16384" width="11.5703125" style="4"/>
  </cols>
  <sheetData>
    <row r="2" spans="2:10" ht="24.75" customHeight="1" x14ac:dyDescent="0.2">
      <c r="E2" s="27"/>
    </row>
    <row r="3" spans="2:10" ht="24.75" customHeight="1" x14ac:dyDescent="0.25">
      <c r="B3" s="632" t="s">
        <v>237</v>
      </c>
      <c r="C3" s="632"/>
      <c r="D3" s="632"/>
      <c r="E3" s="632"/>
    </row>
    <row r="4" spans="2:10" ht="24.75" customHeight="1" x14ac:dyDescent="0.25">
      <c r="B4" s="632" t="s">
        <v>223</v>
      </c>
      <c r="C4" s="632"/>
      <c r="D4" s="632"/>
      <c r="E4" s="632"/>
    </row>
    <row r="5" spans="2:10" ht="24.75" customHeight="1" x14ac:dyDescent="0.25">
      <c r="B5" s="632" t="s">
        <v>238</v>
      </c>
      <c r="C5" s="632"/>
      <c r="D5" s="632"/>
      <c r="E5" s="632"/>
    </row>
    <row r="6" spans="2:10" ht="24.75" customHeight="1" x14ac:dyDescent="0.25">
      <c r="B6" s="648">
        <v>45930</v>
      </c>
      <c r="C6" s="648"/>
      <c r="D6" s="648"/>
      <c r="E6" s="648"/>
    </row>
    <row r="7" spans="2:10" ht="24.75" customHeight="1" thickBot="1" x14ac:dyDescent="0.3">
      <c r="B7" s="119"/>
      <c r="C7" s="119"/>
      <c r="D7" s="119"/>
      <c r="E7" s="28"/>
    </row>
    <row r="8" spans="2:10" ht="24.75" customHeight="1" thickBot="1" x14ac:dyDescent="0.3">
      <c r="B8" s="121" t="s">
        <v>215</v>
      </c>
      <c r="C8" s="122" t="s">
        <v>239</v>
      </c>
      <c r="D8" s="122" t="s">
        <v>225</v>
      </c>
      <c r="E8" s="123" t="s">
        <v>226</v>
      </c>
    </row>
    <row r="9" spans="2:10" ht="24.75" hidden="1" customHeight="1" x14ac:dyDescent="0.2">
      <c r="B9" s="148" t="s">
        <v>240</v>
      </c>
      <c r="C9" s="149">
        <v>0</v>
      </c>
      <c r="D9" s="149">
        <v>0</v>
      </c>
      <c r="E9" s="150"/>
      <c r="G9" s="21"/>
    </row>
    <row r="10" spans="2:10" ht="24.75" customHeight="1" x14ac:dyDescent="0.2">
      <c r="B10" s="148" t="s">
        <v>241</v>
      </c>
      <c r="C10" s="149"/>
      <c r="D10" s="149"/>
      <c r="E10" s="150">
        <v>568933830.88999999</v>
      </c>
      <c r="G10" s="21"/>
    </row>
    <row r="11" spans="2:10" ht="24.75" customHeight="1" x14ac:dyDescent="0.2">
      <c r="B11" s="148" t="s">
        <v>627</v>
      </c>
      <c r="C11" s="149"/>
      <c r="D11" s="149"/>
      <c r="E11" s="150">
        <v>646279189.72000003</v>
      </c>
      <c r="G11" s="21"/>
    </row>
    <row r="12" spans="2:10" ht="24.75" customHeight="1" x14ac:dyDescent="0.35">
      <c r="B12" s="148" t="s">
        <v>830</v>
      </c>
      <c r="C12" s="149"/>
      <c r="D12" s="149"/>
      <c r="E12" s="151">
        <v>403000000</v>
      </c>
      <c r="G12" s="21"/>
    </row>
    <row r="13" spans="2:10" ht="25.5" customHeight="1" x14ac:dyDescent="0.4">
      <c r="B13" s="132" t="s">
        <v>242</v>
      </c>
      <c r="C13" s="152" t="e">
        <f>SUM(#REF!)</f>
        <v>#REF!</v>
      </c>
      <c r="D13" s="153"/>
      <c r="E13" s="154">
        <f>SUM(E10:E12)</f>
        <v>1618213020.6100001</v>
      </c>
      <c r="G13" s="155"/>
      <c r="H13" s="156"/>
    </row>
    <row r="14" spans="2:10" ht="3.75" customHeight="1" thickBot="1" x14ac:dyDescent="0.3">
      <c r="B14" s="157"/>
      <c r="C14" s="158"/>
      <c r="D14" s="158"/>
      <c r="E14" s="159"/>
      <c r="G14" s="29"/>
    </row>
    <row r="15" spans="2:10" ht="24.75" customHeight="1" x14ac:dyDescent="0.25">
      <c r="B15" s="40"/>
      <c r="C15" s="160"/>
      <c r="D15" s="160"/>
      <c r="G15" s="29"/>
      <c r="H15" s="21"/>
      <c r="J15" s="21"/>
    </row>
    <row r="16" spans="2:10" ht="24.75" customHeight="1" x14ac:dyDescent="0.2">
      <c r="E16" s="146"/>
      <c r="G16" s="21"/>
      <c r="H16" s="21"/>
      <c r="J16" s="21"/>
    </row>
    <row r="17" spans="3:8" ht="24.75" customHeight="1" x14ac:dyDescent="0.2">
      <c r="E17" s="146"/>
      <c r="G17" s="21"/>
      <c r="H17" s="21"/>
    </row>
    <row r="18" spans="3:8" ht="24.75" customHeight="1" x14ac:dyDescent="0.2">
      <c r="C18" s="29"/>
      <c r="D18" s="161"/>
      <c r="E18" s="162"/>
      <c r="G18" s="21"/>
      <c r="H18" s="21"/>
    </row>
    <row r="19" spans="3:8" ht="24.75" hidden="1" customHeight="1" x14ac:dyDescent="0.35">
      <c r="C19" s="29"/>
      <c r="D19" s="163"/>
      <c r="E19" s="164"/>
      <c r="G19" s="21"/>
      <c r="H19" s="21"/>
    </row>
    <row r="20" spans="3:8" ht="24.75" customHeight="1" x14ac:dyDescent="0.4">
      <c r="C20" s="165"/>
      <c r="D20" s="44"/>
      <c r="E20" s="155"/>
      <c r="G20" s="21"/>
      <c r="H20" s="21"/>
    </row>
    <row r="21" spans="3:8" ht="24.75" customHeight="1" x14ac:dyDescent="0.25">
      <c r="C21" s="30"/>
      <c r="D21" s="44"/>
      <c r="E21" s="106"/>
      <c r="H21" s="21"/>
    </row>
    <row r="22" spans="3:8" ht="24.75" customHeight="1" x14ac:dyDescent="0.2">
      <c r="C22" s="30"/>
      <c r="D22" s="44"/>
      <c r="E22" s="44"/>
      <c r="H22" s="21"/>
    </row>
    <row r="23" spans="3:8" ht="24.75" customHeight="1" x14ac:dyDescent="0.2">
      <c r="C23" s="30"/>
      <c r="D23" s="30"/>
      <c r="E23" s="30"/>
      <c r="H23" s="21"/>
    </row>
    <row r="24" spans="3:8" ht="24.75" customHeight="1" x14ac:dyDescent="0.2">
      <c r="C24" s="30"/>
      <c r="D24" s="30"/>
      <c r="E24" s="30"/>
      <c r="H24" s="21"/>
    </row>
    <row r="25" spans="3:8" ht="24.75" customHeight="1" x14ac:dyDescent="0.2">
      <c r="C25" s="30"/>
      <c r="D25" s="30"/>
      <c r="E25" s="30"/>
      <c r="H25" s="21"/>
    </row>
    <row r="26" spans="3:8" ht="24.75" customHeight="1" x14ac:dyDescent="0.2">
      <c r="C26" s="30"/>
      <c r="D26" s="30"/>
      <c r="E26" s="30"/>
      <c r="H26" s="21"/>
    </row>
    <row r="27" spans="3:8" ht="24.75" customHeight="1" x14ac:dyDescent="0.2">
      <c r="C27" s="30"/>
      <c r="D27" s="30"/>
      <c r="E27" s="30"/>
      <c r="H27" s="21"/>
    </row>
    <row r="28" spans="3:8" ht="24.75" customHeight="1" x14ac:dyDescent="0.2">
      <c r="C28" s="30"/>
      <c r="D28" s="30"/>
      <c r="E28" s="30"/>
      <c r="H28" s="21"/>
    </row>
    <row r="29" spans="3:8" ht="24.75" customHeight="1" x14ac:dyDescent="0.2">
      <c r="C29" s="30"/>
      <c r="D29" s="30"/>
      <c r="E29" s="30"/>
      <c r="H29" s="21"/>
    </row>
    <row r="30" spans="3:8" ht="24.75" customHeight="1" x14ac:dyDescent="0.2">
      <c r="C30" s="30"/>
      <c r="D30" s="30"/>
      <c r="E30" s="30"/>
      <c r="H30" s="21"/>
    </row>
    <row r="31" spans="3:8" ht="24.75" customHeight="1" x14ac:dyDescent="0.2">
      <c r="C31" s="30"/>
      <c r="D31" s="30"/>
      <c r="E31" s="30"/>
      <c r="H31" s="21"/>
    </row>
    <row r="32" spans="3:8" ht="24.75" customHeight="1" x14ac:dyDescent="0.2">
      <c r="C32" s="30"/>
      <c r="D32" s="30"/>
      <c r="E32" s="30"/>
      <c r="H32" s="21"/>
    </row>
    <row r="33" spans="3:5" ht="24.75" customHeight="1" x14ac:dyDescent="0.2">
      <c r="C33" s="30"/>
      <c r="D33" s="30"/>
      <c r="E33" s="30"/>
    </row>
    <row r="34" spans="3:5" ht="24.75" customHeight="1" x14ac:dyDescent="0.2">
      <c r="C34" s="30"/>
      <c r="D34" s="30"/>
      <c r="E34" s="30"/>
    </row>
    <row r="35" spans="3:5" ht="24.75" customHeight="1" x14ac:dyDescent="0.2">
      <c r="C35" s="30"/>
      <c r="D35" s="30"/>
      <c r="E35" s="30"/>
    </row>
    <row r="36" spans="3:5" ht="24.75" customHeight="1" x14ac:dyDescent="0.2">
      <c r="C36" s="30"/>
      <c r="D36" s="30"/>
      <c r="E36" s="30"/>
    </row>
    <row r="37" spans="3:5" ht="24.75" customHeight="1" x14ac:dyDescent="0.2">
      <c r="C37" s="30"/>
      <c r="D37" s="30"/>
      <c r="E37" s="30"/>
    </row>
    <row r="38" spans="3:5" ht="24.75" customHeight="1" x14ac:dyDescent="0.2">
      <c r="C38" s="30"/>
      <c r="D38" s="30"/>
      <c r="E38" s="30"/>
    </row>
    <row r="39" spans="3:5" ht="24.75" customHeight="1" x14ac:dyDescent="0.2">
      <c r="C39" s="30"/>
      <c r="D39" s="30"/>
      <c r="E39" s="30"/>
    </row>
    <row r="40" spans="3:5" ht="24.75" customHeight="1" x14ac:dyDescent="0.2">
      <c r="C40" s="30"/>
      <c r="D40" s="30"/>
      <c r="E40" s="30"/>
    </row>
    <row r="41" spans="3:5" ht="24.75" customHeight="1" x14ac:dyDescent="0.2">
      <c r="C41" s="30"/>
      <c r="D41" s="30"/>
      <c r="E41" s="30"/>
    </row>
    <row r="42" spans="3:5" ht="24.75" customHeight="1" x14ac:dyDescent="0.2">
      <c r="C42" s="30"/>
      <c r="D42" s="30"/>
      <c r="E42" s="30"/>
    </row>
    <row r="43" spans="3:5" ht="24.75" customHeight="1" x14ac:dyDescent="0.2">
      <c r="C43" s="30"/>
      <c r="D43" s="30"/>
      <c r="E43" s="30"/>
    </row>
    <row r="44" spans="3:5" ht="24.75" customHeight="1" x14ac:dyDescent="0.2">
      <c r="C44" s="30"/>
      <c r="D44" s="30"/>
      <c r="E44" s="30"/>
    </row>
    <row r="45" spans="3:5" ht="24.75" customHeight="1" x14ac:dyDescent="0.2">
      <c r="C45" s="30"/>
      <c r="D45" s="30"/>
      <c r="E45" s="30"/>
    </row>
    <row r="46" spans="3:5" ht="24.75" customHeight="1" x14ac:dyDescent="0.2">
      <c r="C46" s="30"/>
      <c r="D46" s="30"/>
      <c r="E46" s="30"/>
    </row>
    <row r="47" spans="3:5" ht="24.75" customHeight="1" x14ac:dyDescent="0.2">
      <c r="C47" s="30"/>
      <c r="D47" s="30"/>
      <c r="E47" s="30"/>
    </row>
    <row r="48" spans="3:5" ht="24.75" customHeight="1" x14ac:dyDescent="0.2">
      <c r="C48" s="30"/>
      <c r="D48" s="30"/>
      <c r="E48" s="30"/>
    </row>
    <row r="49" spans="3:5" ht="24.75" customHeight="1" x14ac:dyDescent="0.2">
      <c r="C49" s="30"/>
      <c r="D49" s="30"/>
      <c r="E49" s="30"/>
    </row>
    <row r="50" spans="3:5" ht="24.75" customHeight="1" x14ac:dyDescent="0.2">
      <c r="C50" s="30"/>
      <c r="D50" s="30"/>
      <c r="E50" s="30"/>
    </row>
    <row r="51" spans="3:5" ht="24.75" customHeight="1" x14ac:dyDescent="0.2">
      <c r="C51" s="30"/>
      <c r="D51" s="30"/>
      <c r="E51" s="30"/>
    </row>
    <row r="52" spans="3:5" ht="24.75" customHeight="1" x14ac:dyDescent="0.2">
      <c r="C52" s="30"/>
      <c r="D52" s="30"/>
      <c r="E52" s="30"/>
    </row>
    <row r="53" spans="3:5" ht="24.75" customHeight="1" x14ac:dyDescent="0.2">
      <c r="C53" s="30"/>
      <c r="D53" s="30"/>
      <c r="E53" s="30"/>
    </row>
    <row r="54" spans="3:5" ht="24.75" customHeight="1" x14ac:dyDescent="0.2">
      <c r="C54" s="30"/>
      <c r="D54" s="30"/>
      <c r="E54" s="30"/>
    </row>
    <row r="55" spans="3:5" ht="24.75" customHeight="1" x14ac:dyDescent="0.2">
      <c r="C55" s="30"/>
      <c r="D55" s="30"/>
      <c r="E55" s="30"/>
    </row>
    <row r="56" spans="3:5" ht="24.75" customHeight="1" x14ac:dyDescent="0.2">
      <c r="C56" s="30"/>
      <c r="D56" s="30"/>
      <c r="E56" s="30"/>
    </row>
    <row r="57" spans="3:5" ht="24.75" customHeight="1" x14ac:dyDescent="0.2">
      <c r="C57" s="30"/>
      <c r="D57" s="30"/>
      <c r="E57" s="30"/>
    </row>
    <row r="58" spans="3:5" ht="24.75" customHeight="1" x14ac:dyDescent="0.2">
      <c r="C58" s="30"/>
      <c r="D58" s="30"/>
      <c r="E58" s="30"/>
    </row>
    <row r="59" spans="3:5" ht="24.75" customHeight="1" x14ac:dyDescent="0.2">
      <c r="C59" s="30"/>
      <c r="D59" s="30"/>
      <c r="E59" s="30"/>
    </row>
    <row r="60" spans="3:5" ht="24.75" customHeight="1" x14ac:dyDescent="0.2">
      <c r="C60" s="30"/>
      <c r="D60" s="30"/>
      <c r="E60" s="30"/>
    </row>
    <row r="61" spans="3:5" ht="24.75" customHeight="1" x14ac:dyDescent="0.2">
      <c r="C61" s="30"/>
      <c r="D61" s="30"/>
      <c r="E61" s="30"/>
    </row>
    <row r="62" spans="3:5" ht="24.75" customHeight="1" x14ac:dyDescent="0.2">
      <c r="C62" s="30"/>
      <c r="D62" s="30"/>
      <c r="E62" s="30"/>
    </row>
    <row r="63" spans="3:5" ht="24.75" customHeight="1" x14ac:dyDescent="0.2">
      <c r="C63" s="30"/>
      <c r="D63" s="30"/>
      <c r="E63" s="30"/>
    </row>
    <row r="64" spans="3:5" ht="24.75" customHeight="1" x14ac:dyDescent="0.2">
      <c r="C64" s="30"/>
      <c r="D64" s="30"/>
      <c r="E64" s="30"/>
    </row>
    <row r="65" spans="3:5" ht="24.75" customHeight="1" x14ac:dyDescent="0.2">
      <c r="C65" s="30"/>
      <c r="D65" s="30"/>
      <c r="E65" s="30"/>
    </row>
    <row r="66" spans="3:5" ht="24.75" customHeight="1" x14ac:dyDescent="0.2">
      <c r="C66" s="30"/>
      <c r="D66" s="30"/>
      <c r="E66" s="30"/>
    </row>
    <row r="67" spans="3:5" ht="24.75" customHeight="1" x14ac:dyDescent="0.2">
      <c r="C67" s="30"/>
      <c r="D67" s="30"/>
      <c r="E67" s="30"/>
    </row>
    <row r="68" spans="3:5" ht="24.75" customHeight="1" x14ac:dyDescent="0.2">
      <c r="C68" s="30"/>
      <c r="D68" s="30"/>
      <c r="E68" s="30"/>
    </row>
    <row r="69" spans="3:5" ht="24.75" customHeight="1" x14ac:dyDescent="0.2">
      <c r="C69" s="30"/>
      <c r="D69" s="30"/>
      <c r="E69" s="30"/>
    </row>
    <row r="70" spans="3:5" ht="24.75" customHeight="1" x14ac:dyDescent="0.2">
      <c r="C70" s="30"/>
      <c r="D70" s="30"/>
      <c r="E70" s="30"/>
    </row>
    <row r="71" spans="3:5" ht="24.75" customHeight="1" x14ac:dyDescent="0.2">
      <c r="C71" s="30"/>
      <c r="D71" s="30"/>
      <c r="E71" s="30"/>
    </row>
    <row r="72" spans="3:5" ht="24.75" customHeight="1" x14ac:dyDescent="0.2">
      <c r="C72" s="30"/>
      <c r="D72" s="30"/>
      <c r="E72" s="30"/>
    </row>
    <row r="73" spans="3:5" ht="24.75" customHeight="1" x14ac:dyDescent="0.2">
      <c r="C73" s="30"/>
      <c r="D73" s="30"/>
      <c r="E73" s="30"/>
    </row>
    <row r="74" spans="3:5" ht="24.75" customHeight="1" x14ac:dyDescent="0.2">
      <c r="C74" s="30"/>
      <c r="D74" s="30"/>
      <c r="E74" s="30"/>
    </row>
    <row r="75" spans="3:5" ht="24.75" customHeight="1" x14ac:dyDescent="0.2">
      <c r="C75" s="30"/>
      <c r="D75" s="30"/>
      <c r="E75" s="30"/>
    </row>
    <row r="76" spans="3:5" ht="24.75" customHeight="1" x14ac:dyDescent="0.2">
      <c r="C76" s="30"/>
      <c r="D76" s="30"/>
      <c r="E76" s="30"/>
    </row>
    <row r="77" spans="3:5" ht="24.75" customHeight="1" x14ac:dyDescent="0.2">
      <c r="C77" s="30"/>
      <c r="D77" s="30"/>
      <c r="E77" s="30"/>
    </row>
    <row r="78" spans="3:5" ht="24.75" customHeight="1" x14ac:dyDescent="0.2">
      <c r="C78" s="30"/>
      <c r="D78" s="30"/>
      <c r="E78" s="30"/>
    </row>
    <row r="79" spans="3:5" ht="24.75" customHeight="1" x14ac:dyDescent="0.2">
      <c r="C79" s="30"/>
      <c r="D79" s="30"/>
      <c r="E79" s="30"/>
    </row>
    <row r="80" spans="3:5" ht="24.75" customHeight="1" x14ac:dyDescent="0.2">
      <c r="C80" s="30"/>
      <c r="D80" s="30"/>
      <c r="E80" s="30"/>
    </row>
    <row r="81" spans="3:5" ht="24.75" customHeight="1" x14ac:dyDescent="0.2">
      <c r="C81" s="30"/>
      <c r="D81" s="30"/>
      <c r="E81" s="30"/>
    </row>
    <row r="82" spans="3:5" ht="24.75" customHeight="1" x14ac:dyDescent="0.2">
      <c r="C82" s="30"/>
      <c r="D82" s="30"/>
      <c r="E82" s="30"/>
    </row>
    <row r="83" spans="3:5" ht="24.75" customHeight="1" x14ac:dyDescent="0.2">
      <c r="C83" s="30"/>
      <c r="D83" s="30"/>
      <c r="E83" s="30"/>
    </row>
    <row r="84" spans="3:5" ht="24.75" customHeight="1" x14ac:dyDescent="0.2">
      <c r="C84" s="30"/>
      <c r="D84" s="30"/>
      <c r="E84" s="30"/>
    </row>
    <row r="85" spans="3:5" ht="24.75" customHeight="1" x14ac:dyDescent="0.2">
      <c r="C85" s="30"/>
      <c r="D85" s="30"/>
      <c r="E85" s="30"/>
    </row>
    <row r="86" spans="3:5" ht="24.75" customHeight="1" x14ac:dyDescent="0.2">
      <c r="C86" s="30"/>
      <c r="D86" s="30"/>
      <c r="E86" s="30"/>
    </row>
    <row r="87" spans="3:5" ht="24.75" customHeight="1" x14ac:dyDescent="0.2">
      <c r="C87" s="30"/>
      <c r="D87" s="30"/>
      <c r="E87" s="30"/>
    </row>
    <row r="88" spans="3:5" ht="24.75" customHeight="1" x14ac:dyDescent="0.2">
      <c r="C88" s="30"/>
      <c r="D88" s="30"/>
      <c r="E88" s="30"/>
    </row>
    <row r="89" spans="3:5" ht="24.75" customHeight="1" x14ac:dyDescent="0.2">
      <c r="C89" s="30"/>
      <c r="D89" s="30"/>
      <c r="E89" s="30"/>
    </row>
    <row r="90" spans="3:5" ht="24.75" customHeight="1" x14ac:dyDescent="0.2">
      <c r="C90" s="30"/>
      <c r="D90" s="30"/>
      <c r="E90" s="30"/>
    </row>
    <row r="91" spans="3:5" ht="24.75" customHeight="1" x14ac:dyDescent="0.2">
      <c r="C91" s="30"/>
      <c r="D91" s="30"/>
      <c r="E91" s="30"/>
    </row>
    <row r="92" spans="3:5" ht="24.75" customHeight="1" x14ac:dyDescent="0.2">
      <c r="C92" s="30"/>
      <c r="D92" s="30"/>
      <c r="E92" s="30"/>
    </row>
    <row r="93" spans="3:5" ht="24.75" customHeight="1" x14ac:dyDescent="0.2">
      <c r="C93" s="30"/>
      <c r="D93" s="30"/>
      <c r="E93" s="30"/>
    </row>
    <row r="94" spans="3:5" ht="24.75" customHeight="1" x14ac:dyDescent="0.2">
      <c r="C94" s="30"/>
      <c r="D94" s="30"/>
      <c r="E94" s="30"/>
    </row>
    <row r="95" spans="3:5" ht="24.75" customHeight="1" x14ac:dyDescent="0.2">
      <c r="C95" s="30"/>
      <c r="D95" s="30"/>
      <c r="E95" s="30"/>
    </row>
    <row r="96" spans="3:5" ht="24.75" customHeight="1" x14ac:dyDescent="0.2">
      <c r="C96" s="30"/>
      <c r="D96" s="30"/>
      <c r="E96" s="30"/>
    </row>
    <row r="97" spans="3:5" ht="24.75" customHeight="1" x14ac:dyDescent="0.2">
      <c r="C97" s="30"/>
      <c r="D97" s="30"/>
      <c r="E97" s="30"/>
    </row>
    <row r="98" spans="3:5" ht="24.75" customHeight="1" x14ac:dyDescent="0.2">
      <c r="C98" s="30"/>
      <c r="D98" s="30"/>
      <c r="E98" s="30"/>
    </row>
    <row r="99" spans="3:5" ht="24.75" customHeight="1" x14ac:dyDescent="0.2">
      <c r="C99" s="30"/>
      <c r="D99" s="30"/>
      <c r="E99" s="30"/>
    </row>
    <row r="100" spans="3:5" ht="24.75" customHeight="1" x14ac:dyDescent="0.2">
      <c r="C100" s="30"/>
      <c r="D100" s="30"/>
      <c r="E100" s="30"/>
    </row>
    <row r="101" spans="3:5" ht="24.75" customHeight="1" x14ac:dyDescent="0.2">
      <c r="C101" s="30"/>
      <c r="D101" s="30"/>
      <c r="E101" s="30"/>
    </row>
    <row r="102" spans="3:5" ht="24.75" customHeight="1" x14ac:dyDescent="0.2">
      <c r="C102" s="30"/>
      <c r="D102" s="30"/>
      <c r="E102" s="30"/>
    </row>
    <row r="103" spans="3:5" ht="24.75" customHeight="1" x14ac:dyDescent="0.2">
      <c r="C103" s="30"/>
      <c r="D103" s="30"/>
      <c r="E103" s="30"/>
    </row>
    <row r="104" spans="3:5" ht="24.75" customHeight="1" x14ac:dyDescent="0.2">
      <c r="C104" s="30"/>
      <c r="D104" s="30"/>
      <c r="E104" s="30"/>
    </row>
    <row r="105" spans="3:5" ht="24.75" customHeight="1" x14ac:dyDescent="0.2">
      <c r="C105" s="30"/>
      <c r="D105" s="30"/>
      <c r="E105" s="30"/>
    </row>
    <row r="106" spans="3:5" ht="24.75" customHeight="1" x14ac:dyDescent="0.2">
      <c r="C106" s="30"/>
      <c r="D106" s="30"/>
      <c r="E106" s="30"/>
    </row>
    <row r="107" spans="3:5" ht="24.75" customHeight="1" x14ac:dyDescent="0.2">
      <c r="C107" s="30"/>
      <c r="D107" s="30"/>
      <c r="E107" s="30"/>
    </row>
    <row r="108" spans="3:5" ht="24.75" customHeight="1" x14ac:dyDescent="0.2">
      <c r="C108" s="30"/>
      <c r="D108" s="30"/>
      <c r="E108" s="30"/>
    </row>
    <row r="109" spans="3:5" ht="24.75" customHeight="1" x14ac:dyDescent="0.2">
      <c r="C109" s="30"/>
      <c r="D109" s="30"/>
      <c r="E109" s="30"/>
    </row>
    <row r="110" spans="3:5" ht="24.75" customHeight="1" x14ac:dyDescent="0.2">
      <c r="C110" s="30"/>
      <c r="D110" s="30"/>
      <c r="E110" s="30"/>
    </row>
    <row r="111" spans="3:5" ht="24.75" customHeight="1" x14ac:dyDescent="0.2">
      <c r="C111" s="30"/>
      <c r="D111" s="30"/>
      <c r="E111" s="30"/>
    </row>
    <row r="112" spans="3:5" ht="24.75" customHeight="1" x14ac:dyDescent="0.2">
      <c r="C112" s="30"/>
      <c r="D112" s="30"/>
      <c r="E112" s="30"/>
    </row>
    <row r="113" spans="3:5" ht="24.75" customHeight="1" x14ac:dyDescent="0.2">
      <c r="C113" s="30"/>
      <c r="D113" s="30"/>
      <c r="E113" s="30"/>
    </row>
    <row r="114" spans="3:5" ht="24.75" customHeight="1" x14ac:dyDescent="0.2">
      <c r="C114" s="30"/>
      <c r="D114" s="30"/>
      <c r="E114" s="30"/>
    </row>
    <row r="115" spans="3:5" ht="24.75" customHeight="1" x14ac:dyDescent="0.2">
      <c r="C115" s="30"/>
      <c r="D115" s="30"/>
      <c r="E115" s="30"/>
    </row>
    <row r="116" spans="3:5" ht="24.75" customHeight="1" x14ac:dyDescent="0.2">
      <c r="C116" s="30"/>
      <c r="D116" s="30"/>
      <c r="E116" s="30"/>
    </row>
    <row r="117" spans="3:5" ht="24.75" customHeight="1" x14ac:dyDescent="0.2">
      <c r="C117" s="30"/>
      <c r="D117" s="30"/>
      <c r="E117" s="30"/>
    </row>
    <row r="118" spans="3:5" ht="24.75" customHeight="1" x14ac:dyDescent="0.2">
      <c r="C118" s="30"/>
      <c r="D118" s="30"/>
      <c r="E118" s="30"/>
    </row>
    <row r="119" spans="3:5" ht="24.75" customHeight="1" x14ac:dyDescent="0.2">
      <c r="C119" s="30"/>
      <c r="D119" s="30"/>
      <c r="E119" s="30"/>
    </row>
    <row r="120" spans="3:5" ht="24.75" customHeight="1" x14ac:dyDescent="0.2">
      <c r="C120" s="30"/>
      <c r="D120" s="30"/>
      <c r="E120" s="30"/>
    </row>
    <row r="121" spans="3:5" ht="24.75" customHeight="1" x14ac:dyDescent="0.2">
      <c r="C121" s="30"/>
      <c r="D121" s="30"/>
      <c r="E121" s="30"/>
    </row>
    <row r="122" spans="3:5" ht="24.75" customHeight="1" x14ac:dyDescent="0.2">
      <c r="C122" s="30"/>
      <c r="D122" s="30"/>
      <c r="E122" s="30"/>
    </row>
    <row r="123" spans="3:5" ht="24.75" customHeight="1" x14ac:dyDescent="0.2">
      <c r="C123" s="30"/>
      <c r="D123" s="30"/>
      <c r="E123" s="30"/>
    </row>
    <row r="124" spans="3:5" ht="24.75" customHeight="1" x14ac:dyDescent="0.2">
      <c r="C124" s="30"/>
      <c r="D124" s="30"/>
      <c r="E124" s="30"/>
    </row>
    <row r="125" spans="3:5" ht="24.75" customHeight="1" x14ac:dyDescent="0.2">
      <c r="C125" s="30"/>
      <c r="D125" s="30"/>
      <c r="E125" s="30"/>
    </row>
    <row r="126" spans="3:5" ht="24.75" customHeight="1" x14ac:dyDescent="0.2">
      <c r="C126" s="30"/>
      <c r="D126" s="30"/>
      <c r="E126" s="30"/>
    </row>
    <row r="127" spans="3:5" ht="24.75" customHeight="1" x14ac:dyDescent="0.2">
      <c r="C127" s="30"/>
      <c r="D127" s="30"/>
      <c r="E127" s="30"/>
    </row>
    <row r="128" spans="3:5" ht="24.75" customHeight="1" x14ac:dyDescent="0.2">
      <c r="C128" s="30"/>
      <c r="D128" s="30"/>
      <c r="E128" s="30"/>
    </row>
    <row r="129" spans="3:5" ht="24.75" customHeight="1" x14ac:dyDescent="0.2">
      <c r="C129" s="30"/>
      <c r="D129" s="30"/>
      <c r="E129" s="30"/>
    </row>
    <row r="130" spans="3:5" ht="24.75" customHeight="1" x14ac:dyDescent="0.2">
      <c r="C130" s="30"/>
      <c r="D130" s="30"/>
      <c r="E130" s="30"/>
    </row>
    <row r="131" spans="3:5" ht="24.75" customHeight="1" x14ac:dyDescent="0.2">
      <c r="C131" s="30"/>
      <c r="D131" s="30"/>
      <c r="E131" s="30"/>
    </row>
    <row r="132" spans="3:5" ht="24.75" customHeight="1" x14ac:dyDescent="0.2">
      <c r="C132" s="30"/>
      <c r="D132" s="30"/>
      <c r="E132" s="30"/>
    </row>
    <row r="133" spans="3:5" ht="24.75" customHeight="1" x14ac:dyDescent="0.2">
      <c r="C133" s="30"/>
      <c r="D133" s="30"/>
      <c r="E133" s="30"/>
    </row>
    <row r="134" spans="3:5" ht="24.75" customHeight="1" x14ac:dyDescent="0.2">
      <c r="C134" s="30"/>
      <c r="D134" s="30"/>
      <c r="E134" s="30"/>
    </row>
    <row r="135" spans="3:5" ht="24.75" customHeight="1" x14ac:dyDescent="0.2">
      <c r="C135" s="30"/>
      <c r="D135" s="30"/>
      <c r="E135" s="30"/>
    </row>
    <row r="136" spans="3:5" ht="24.75" customHeight="1" x14ac:dyDescent="0.2">
      <c r="C136" s="30"/>
      <c r="D136" s="30"/>
      <c r="E136" s="30"/>
    </row>
    <row r="137" spans="3:5" ht="24.75" customHeight="1" x14ac:dyDescent="0.2">
      <c r="C137" s="30"/>
      <c r="D137" s="30"/>
      <c r="E137" s="30"/>
    </row>
    <row r="138" spans="3:5" ht="24.75" customHeight="1" x14ac:dyDescent="0.2">
      <c r="C138" s="30"/>
      <c r="D138" s="30"/>
      <c r="E138" s="30"/>
    </row>
    <row r="139" spans="3:5" ht="24.75" customHeight="1" x14ac:dyDescent="0.2">
      <c r="C139" s="30"/>
      <c r="D139" s="30"/>
      <c r="E139" s="30"/>
    </row>
    <row r="140" spans="3:5" ht="24.75" customHeight="1" x14ac:dyDescent="0.2">
      <c r="C140" s="30"/>
      <c r="D140" s="30"/>
      <c r="E140" s="30"/>
    </row>
    <row r="141" spans="3:5" ht="24.75" customHeight="1" x14ac:dyDescent="0.2">
      <c r="C141" s="30"/>
      <c r="D141" s="30"/>
      <c r="E141" s="30"/>
    </row>
    <row r="142" spans="3:5" ht="24.75" customHeight="1" x14ac:dyDescent="0.2">
      <c r="C142" s="30"/>
      <c r="D142" s="30"/>
      <c r="E142" s="30"/>
    </row>
    <row r="143" spans="3:5" ht="24.75" customHeight="1" x14ac:dyDescent="0.2">
      <c r="C143" s="30"/>
      <c r="D143" s="30"/>
      <c r="E143" s="30"/>
    </row>
    <row r="144" spans="3:5" ht="24.75" customHeight="1" x14ac:dyDescent="0.2">
      <c r="C144" s="30"/>
      <c r="D144" s="30"/>
      <c r="E144" s="30"/>
    </row>
    <row r="145" spans="3:5" ht="24.75" customHeight="1" x14ac:dyDescent="0.2">
      <c r="C145" s="30"/>
      <c r="D145" s="30"/>
      <c r="E145" s="30"/>
    </row>
    <row r="146" spans="3:5" ht="24.75" customHeight="1" x14ac:dyDescent="0.2">
      <c r="C146" s="30"/>
      <c r="D146" s="30"/>
      <c r="E146" s="30"/>
    </row>
    <row r="147" spans="3:5" ht="24.75" customHeight="1" x14ac:dyDescent="0.2">
      <c r="C147" s="30"/>
      <c r="D147" s="30"/>
      <c r="E147" s="30"/>
    </row>
    <row r="148" spans="3:5" ht="24.75" customHeight="1" x14ac:dyDescent="0.2">
      <c r="C148" s="30"/>
      <c r="D148" s="30"/>
      <c r="E148" s="30"/>
    </row>
    <row r="149" spans="3:5" ht="24.75" customHeight="1" x14ac:dyDescent="0.2">
      <c r="C149" s="30"/>
      <c r="D149" s="30"/>
      <c r="E149" s="30"/>
    </row>
    <row r="150" spans="3:5" ht="24.75" customHeight="1" x14ac:dyDescent="0.2">
      <c r="C150" s="30"/>
      <c r="D150" s="30"/>
      <c r="E150" s="30"/>
    </row>
    <row r="151" spans="3:5" ht="24.75" customHeight="1" x14ac:dyDescent="0.2">
      <c r="C151" s="30"/>
      <c r="D151" s="30"/>
      <c r="E151" s="30"/>
    </row>
    <row r="152" spans="3:5" ht="24.75" customHeight="1" x14ac:dyDescent="0.2">
      <c r="C152" s="30"/>
      <c r="D152" s="30"/>
      <c r="E152" s="30"/>
    </row>
    <row r="153" spans="3:5" ht="24.75" customHeight="1" x14ac:dyDescent="0.2">
      <c r="C153" s="30"/>
      <c r="D153" s="30"/>
      <c r="E153" s="30"/>
    </row>
    <row r="154" spans="3:5" ht="24.75" customHeight="1" x14ac:dyDescent="0.2">
      <c r="C154" s="30"/>
      <c r="D154" s="30"/>
      <c r="E154" s="30"/>
    </row>
    <row r="155" spans="3:5" ht="24.75" customHeight="1" x14ac:dyDescent="0.2">
      <c r="C155" s="30"/>
      <c r="D155" s="30"/>
      <c r="E155" s="30"/>
    </row>
    <row r="156" spans="3:5" ht="24.75" customHeight="1" x14ac:dyDescent="0.2">
      <c r="C156" s="30"/>
      <c r="D156" s="30"/>
      <c r="E156" s="30"/>
    </row>
    <row r="157" spans="3:5" ht="24.75" customHeight="1" x14ac:dyDescent="0.2">
      <c r="C157" s="30"/>
      <c r="D157" s="30"/>
      <c r="E157" s="30"/>
    </row>
    <row r="158" spans="3:5" ht="24.75" customHeight="1" x14ac:dyDescent="0.2">
      <c r="C158" s="30"/>
      <c r="D158" s="30"/>
      <c r="E158" s="30"/>
    </row>
    <row r="159" spans="3:5" ht="24.75" customHeight="1" x14ac:dyDescent="0.2">
      <c r="C159" s="30"/>
      <c r="D159" s="30"/>
      <c r="E159" s="30"/>
    </row>
    <row r="160" spans="3:5" ht="24.75" customHeight="1" x14ac:dyDescent="0.2">
      <c r="C160" s="30"/>
      <c r="D160" s="30"/>
      <c r="E160" s="30"/>
    </row>
    <row r="161" spans="3:5" ht="24.75" customHeight="1" x14ac:dyDescent="0.2">
      <c r="C161" s="30"/>
      <c r="D161" s="30"/>
      <c r="E161" s="30"/>
    </row>
    <row r="162" spans="3:5" ht="24.75" customHeight="1" x14ac:dyDescent="0.2">
      <c r="C162" s="30"/>
      <c r="D162" s="30"/>
      <c r="E162" s="30"/>
    </row>
    <row r="163" spans="3:5" ht="24.75" customHeight="1" x14ac:dyDescent="0.2">
      <c r="C163" s="30"/>
      <c r="D163" s="30"/>
      <c r="E163" s="30"/>
    </row>
    <row r="164" spans="3:5" ht="24.75" customHeight="1" x14ac:dyDescent="0.2">
      <c r="C164" s="30"/>
      <c r="D164" s="30"/>
      <c r="E164" s="30"/>
    </row>
    <row r="165" spans="3:5" ht="24.75" customHeight="1" x14ac:dyDescent="0.2">
      <c r="C165" s="30"/>
      <c r="D165" s="30"/>
      <c r="E165" s="30"/>
    </row>
    <row r="166" spans="3:5" ht="24.75" customHeight="1" x14ac:dyDescent="0.2">
      <c r="C166" s="30"/>
      <c r="D166" s="30"/>
      <c r="E166" s="30"/>
    </row>
    <row r="167" spans="3:5" ht="24.75" customHeight="1" x14ac:dyDescent="0.2">
      <c r="C167" s="30"/>
      <c r="D167" s="30"/>
      <c r="E167" s="30"/>
    </row>
    <row r="168" spans="3:5" ht="24.75" customHeight="1" x14ac:dyDescent="0.2">
      <c r="C168" s="30"/>
      <c r="D168" s="30"/>
      <c r="E168" s="30"/>
    </row>
    <row r="169" spans="3:5" ht="24.75" customHeight="1" x14ac:dyDescent="0.2">
      <c r="C169" s="30"/>
      <c r="D169" s="30"/>
      <c r="E169" s="30"/>
    </row>
    <row r="170" spans="3:5" ht="24.75" customHeight="1" x14ac:dyDescent="0.2">
      <c r="C170" s="30"/>
      <c r="D170" s="30"/>
      <c r="E170" s="30"/>
    </row>
    <row r="171" spans="3:5" ht="24.75" customHeight="1" x14ac:dyDescent="0.2">
      <c r="C171" s="30"/>
      <c r="D171" s="30"/>
      <c r="E171" s="30"/>
    </row>
    <row r="172" spans="3:5" ht="24.75" customHeight="1" x14ac:dyDescent="0.2">
      <c r="C172" s="30"/>
      <c r="D172" s="30"/>
      <c r="E172" s="30"/>
    </row>
    <row r="173" spans="3:5" ht="24.75" customHeight="1" x14ac:dyDescent="0.2">
      <c r="C173" s="30"/>
      <c r="D173" s="30"/>
      <c r="E173" s="30"/>
    </row>
    <row r="174" spans="3:5" ht="24.75" customHeight="1" x14ac:dyDescent="0.2">
      <c r="C174" s="30"/>
      <c r="D174" s="30"/>
      <c r="E174" s="30"/>
    </row>
    <row r="175" spans="3:5" ht="24.75" customHeight="1" x14ac:dyDescent="0.2">
      <c r="C175" s="30"/>
      <c r="D175" s="30"/>
      <c r="E175" s="30"/>
    </row>
    <row r="176" spans="3:5" ht="24.75" customHeight="1" x14ac:dyDescent="0.2">
      <c r="C176" s="30"/>
      <c r="D176" s="30"/>
      <c r="E176" s="30"/>
    </row>
    <row r="177" spans="3:5" ht="24.75" customHeight="1" x14ac:dyDescent="0.2">
      <c r="C177" s="30"/>
      <c r="D177" s="30"/>
      <c r="E177" s="30"/>
    </row>
    <row r="178" spans="3:5" ht="24.75" customHeight="1" x14ac:dyDescent="0.2">
      <c r="C178" s="30"/>
      <c r="D178" s="30"/>
      <c r="E178" s="30"/>
    </row>
    <row r="179" spans="3:5" ht="24.75" customHeight="1" x14ac:dyDescent="0.2">
      <c r="C179" s="30"/>
      <c r="D179" s="30"/>
      <c r="E179" s="30"/>
    </row>
    <row r="180" spans="3:5" ht="24.75" customHeight="1" x14ac:dyDescent="0.2">
      <c r="C180" s="30"/>
      <c r="D180" s="30"/>
      <c r="E180" s="30"/>
    </row>
    <row r="181" spans="3:5" ht="24.75" customHeight="1" x14ac:dyDescent="0.2">
      <c r="C181" s="30"/>
      <c r="D181" s="30"/>
      <c r="E181" s="30"/>
    </row>
    <row r="182" spans="3:5" ht="24.75" customHeight="1" x14ac:dyDescent="0.2">
      <c r="C182" s="30"/>
      <c r="D182" s="30"/>
      <c r="E182" s="30"/>
    </row>
    <row r="183" spans="3:5" ht="24.75" customHeight="1" x14ac:dyDescent="0.2">
      <c r="C183" s="30"/>
      <c r="D183" s="30"/>
      <c r="E183" s="30"/>
    </row>
    <row r="184" spans="3:5" ht="24.75" customHeight="1" x14ac:dyDescent="0.2">
      <c r="C184" s="30"/>
      <c r="D184" s="30"/>
      <c r="E184" s="30"/>
    </row>
    <row r="185" spans="3:5" ht="24.75" customHeight="1" x14ac:dyDescent="0.2">
      <c r="C185" s="30"/>
      <c r="D185" s="30"/>
      <c r="E185" s="30"/>
    </row>
    <row r="186" spans="3:5" ht="24.75" customHeight="1" x14ac:dyDescent="0.2">
      <c r="C186" s="30"/>
      <c r="D186" s="30"/>
      <c r="E186" s="30"/>
    </row>
    <row r="187" spans="3:5" ht="24.75" customHeight="1" x14ac:dyDescent="0.2">
      <c r="C187" s="30"/>
      <c r="D187" s="30"/>
      <c r="E187" s="30"/>
    </row>
    <row r="188" spans="3:5" ht="24.75" customHeight="1" x14ac:dyDescent="0.2">
      <c r="C188" s="30"/>
      <c r="D188" s="30"/>
      <c r="E188" s="30"/>
    </row>
    <row r="189" spans="3:5" ht="24.75" customHeight="1" x14ac:dyDescent="0.2">
      <c r="C189" s="30"/>
      <c r="D189" s="30"/>
      <c r="E189" s="30"/>
    </row>
    <row r="190" spans="3:5" ht="24.75" customHeight="1" x14ac:dyDescent="0.2">
      <c r="C190" s="30"/>
      <c r="D190" s="30"/>
      <c r="E190" s="30"/>
    </row>
    <row r="191" spans="3:5" ht="24.75" customHeight="1" x14ac:dyDescent="0.2">
      <c r="C191" s="30"/>
      <c r="D191" s="30"/>
      <c r="E191" s="30"/>
    </row>
    <row r="192" spans="3:5" ht="24.75" customHeight="1" x14ac:dyDescent="0.2">
      <c r="C192" s="30"/>
      <c r="D192" s="30"/>
      <c r="E192" s="30"/>
    </row>
    <row r="193" spans="3:5" ht="24.75" customHeight="1" x14ac:dyDescent="0.2">
      <c r="C193" s="30"/>
      <c r="D193" s="30"/>
      <c r="E193" s="30"/>
    </row>
    <row r="194" spans="3:5" ht="24.75" customHeight="1" x14ac:dyDescent="0.2">
      <c r="C194" s="30"/>
      <c r="D194" s="30"/>
      <c r="E194" s="30"/>
    </row>
    <row r="195" spans="3:5" ht="24.75" customHeight="1" x14ac:dyDescent="0.2">
      <c r="C195" s="30"/>
      <c r="D195" s="30"/>
      <c r="E195" s="30"/>
    </row>
    <row r="196" spans="3:5" ht="24.75" customHeight="1" x14ac:dyDescent="0.2">
      <c r="C196" s="30"/>
      <c r="D196" s="30"/>
      <c r="E196" s="30"/>
    </row>
    <row r="197" spans="3:5" ht="24.75" customHeight="1" x14ac:dyDescent="0.2">
      <c r="C197" s="30"/>
      <c r="D197" s="30"/>
      <c r="E197" s="30"/>
    </row>
    <row r="198" spans="3:5" ht="24.75" customHeight="1" x14ac:dyDescent="0.2">
      <c r="C198" s="30"/>
      <c r="D198" s="30"/>
      <c r="E198" s="30"/>
    </row>
    <row r="199" spans="3:5" ht="24.75" customHeight="1" x14ac:dyDescent="0.2">
      <c r="C199" s="30"/>
      <c r="D199" s="30"/>
      <c r="E199" s="30"/>
    </row>
    <row r="200" spans="3:5" ht="24.75" customHeight="1" x14ac:dyDescent="0.2">
      <c r="C200" s="30"/>
      <c r="D200" s="30"/>
      <c r="E200" s="30"/>
    </row>
    <row r="201" spans="3:5" ht="24.75" customHeight="1" x14ac:dyDescent="0.2">
      <c r="C201" s="30"/>
      <c r="D201" s="30"/>
      <c r="E201" s="30"/>
    </row>
    <row r="202" spans="3:5" ht="24.75" customHeight="1" x14ac:dyDescent="0.2">
      <c r="C202" s="30"/>
      <c r="D202" s="30"/>
      <c r="E202" s="30"/>
    </row>
    <row r="203" spans="3:5" ht="24.75" customHeight="1" x14ac:dyDescent="0.2">
      <c r="C203" s="30"/>
      <c r="D203" s="30"/>
      <c r="E203" s="30"/>
    </row>
    <row r="204" spans="3:5" ht="24.75" customHeight="1" x14ac:dyDescent="0.2">
      <c r="C204" s="30"/>
      <c r="D204" s="30"/>
      <c r="E204" s="30"/>
    </row>
    <row r="205" spans="3:5" ht="24.75" customHeight="1" x14ac:dyDescent="0.2">
      <c r="C205" s="30"/>
      <c r="D205" s="30"/>
      <c r="E205" s="30"/>
    </row>
    <row r="206" spans="3:5" ht="24.75" customHeight="1" x14ac:dyDescent="0.2">
      <c r="C206" s="30"/>
      <c r="D206" s="30"/>
      <c r="E206" s="30"/>
    </row>
    <row r="207" spans="3:5" ht="24.75" customHeight="1" x14ac:dyDescent="0.2">
      <c r="C207" s="30"/>
      <c r="D207" s="30"/>
      <c r="E207" s="30"/>
    </row>
    <row r="208" spans="3:5" ht="24.75" customHeight="1" x14ac:dyDescent="0.2">
      <c r="C208" s="30"/>
      <c r="D208" s="30"/>
      <c r="E208" s="30"/>
    </row>
    <row r="209" spans="3:5" ht="24.75" customHeight="1" x14ac:dyDescent="0.2">
      <c r="C209" s="30"/>
      <c r="D209" s="30"/>
      <c r="E209" s="30"/>
    </row>
    <row r="210" spans="3:5" ht="24.75" customHeight="1" x14ac:dyDescent="0.2">
      <c r="C210" s="30"/>
      <c r="D210" s="30"/>
      <c r="E210" s="30"/>
    </row>
    <row r="211" spans="3:5" ht="24.75" customHeight="1" x14ac:dyDescent="0.2">
      <c r="C211" s="30"/>
      <c r="D211" s="30"/>
      <c r="E211" s="30"/>
    </row>
    <row r="212" spans="3:5" ht="24.75" customHeight="1" x14ac:dyDescent="0.2">
      <c r="C212" s="30"/>
      <c r="D212" s="30"/>
      <c r="E212" s="30"/>
    </row>
  </sheetData>
  <mergeCells count="4">
    <mergeCell ref="B5:E5"/>
    <mergeCell ref="B6:E6"/>
    <mergeCell ref="B4:E4"/>
    <mergeCell ref="B3:E3"/>
  </mergeCells>
  <pageMargins left="1.3779527559055118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J22"/>
  <sheetViews>
    <sheetView topLeftCell="A7" workbookViewId="0">
      <selection activeCell="C12" sqref="C12"/>
    </sheetView>
  </sheetViews>
  <sheetFormatPr baseColWidth="10" defaultColWidth="11.42578125" defaultRowHeight="24.75" customHeight="1" x14ac:dyDescent="0.2"/>
  <cols>
    <col min="1" max="1" width="7.42578125" style="4" customWidth="1"/>
    <col min="2" max="2" width="48.140625" style="4" customWidth="1"/>
    <col min="3" max="3" width="24.5703125" style="4" customWidth="1"/>
    <col min="4" max="4" width="11.42578125" style="4"/>
    <col min="5" max="5" width="17.42578125" style="4" bestFit="1" customWidth="1"/>
    <col min="6" max="16384" width="11.42578125" style="4"/>
  </cols>
  <sheetData>
    <row r="3" spans="1:10" ht="24.75" customHeight="1" x14ac:dyDescent="0.25">
      <c r="A3" s="114"/>
      <c r="B3" s="632" t="s">
        <v>243</v>
      </c>
      <c r="C3" s="632"/>
      <c r="D3" s="114"/>
      <c r="G3" s="28"/>
      <c r="H3" s="28"/>
      <c r="I3" s="28"/>
      <c r="J3" s="28"/>
    </row>
    <row r="4" spans="1:10" ht="24.75" customHeight="1" x14ac:dyDescent="0.25">
      <c r="A4" s="114"/>
      <c r="B4" s="632" t="s">
        <v>223</v>
      </c>
      <c r="C4" s="632"/>
      <c r="D4" s="114"/>
      <c r="G4" s="28"/>
      <c r="H4" s="28"/>
      <c r="I4" s="28"/>
      <c r="J4" s="28"/>
    </row>
    <row r="5" spans="1:10" ht="24.75" customHeight="1" x14ac:dyDescent="0.25">
      <c r="A5" s="114"/>
      <c r="B5" s="632" t="s">
        <v>244</v>
      </c>
      <c r="C5" s="632"/>
      <c r="D5" s="114"/>
      <c r="G5" s="28"/>
      <c r="H5" s="28"/>
      <c r="I5" s="28"/>
      <c r="J5" s="28"/>
    </row>
    <row r="6" spans="1:10" ht="24.75" customHeight="1" x14ac:dyDescent="0.25">
      <c r="A6" s="114"/>
      <c r="B6" s="648">
        <v>45930</v>
      </c>
      <c r="C6" s="648"/>
      <c r="D6" s="166"/>
      <c r="E6" s="166"/>
    </row>
    <row r="7" spans="1:10" ht="24.75" customHeight="1" thickBot="1" x14ac:dyDescent="0.3">
      <c r="A7" s="114"/>
      <c r="B7" s="118"/>
      <c r="C7" s="118"/>
      <c r="D7" s="114"/>
    </row>
    <row r="8" spans="1:10" ht="24.75" customHeight="1" thickBot="1" x14ac:dyDescent="0.3">
      <c r="A8" s="114"/>
      <c r="B8" s="121" t="s">
        <v>215</v>
      </c>
      <c r="C8" s="123" t="s">
        <v>226</v>
      </c>
      <c r="D8" s="114"/>
      <c r="E8" s="156"/>
    </row>
    <row r="9" spans="1:10" ht="24.75" customHeight="1" x14ac:dyDescent="0.2">
      <c r="A9" s="114"/>
      <c r="B9" s="167" t="s">
        <v>245</v>
      </c>
      <c r="C9" s="168">
        <f>+'NOTA 3-C-CONST '!F31</f>
        <v>10305864.639999999</v>
      </c>
      <c r="D9" s="114"/>
      <c r="E9" s="156"/>
    </row>
    <row r="10" spans="1:10" ht="24.75" customHeight="1" x14ac:dyDescent="0.2">
      <c r="A10" s="114"/>
      <c r="B10" s="169" t="s">
        <v>246</v>
      </c>
      <c r="C10" s="170">
        <f>+'NOTA 3-ANTIC COMP Y OTRAS'!E18</f>
        <v>3851258.1399999997</v>
      </c>
      <c r="D10" s="114"/>
      <c r="E10" s="156"/>
    </row>
    <row r="11" spans="1:10" ht="24.75" hidden="1" customHeight="1" x14ac:dyDescent="0.2">
      <c r="A11" s="114"/>
      <c r="B11" s="169" t="s">
        <v>247</v>
      </c>
      <c r="C11" s="170">
        <f>+'NOTA 3-Intereses'!C11</f>
        <v>0</v>
      </c>
      <c r="D11" s="114"/>
      <c r="E11" s="156"/>
    </row>
    <row r="12" spans="1:10" ht="24.75" customHeight="1" x14ac:dyDescent="0.2">
      <c r="A12" s="114"/>
      <c r="B12" s="169" t="s">
        <v>248</v>
      </c>
      <c r="C12" s="170">
        <f>+'Nota 3 CxC Emplead'!H11</f>
        <v>113498.03</v>
      </c>
      <c r="D12" s="114"/>
      <c r="E12" s="156"/>
    </row>
    <row r="13" spans="1:10" ht="24.75" customHeight="1" x14ac:dyDescent="0.35">
      <c r="A13" s="114"/>
      <c r="B13" s="169" t="s">
        <v>249</v>
      </c>
      <c r="C13" s="171">
        <f>+'NOTA 3-C X C'!C12</f>
        <v>80099.02</v>
      </c>
      <c r="D13" s="114"/>
      <c r="E13" s="156"/>
    </row>
    <row r="14" spans="1:10" ht="24.75" customHeight="1" x14ac:dyDescent="0.4">
      <c r="A14" s="114"/>
      <c r="B14" s="172" t="s">
        <v>242</v>
      </c>
      <c r="C14" s="173">
        <f>SUM(C9:C13)</f>
        <v>14350719.829999996</v>
      </c>
      <c r="D14" s="114"/>
      <c r="E14" s="156"/>
    </row>
    <row r="15" spans="1:10" ht="24.75" customHeight="1" thickBot="1" x14ac:dyDescent="0.25">
      <c r="A15" s="114"/>
      <c r="B15" s="174"/>
      <c r="C15" s="175"/>
      <c r="D15" s="114"/>
      <c r="E15" s="156"/>
    </row>
    <row r="16" spans="1:10" ht="24.75" customHeight="1" x14ac:dyDescent="0.2">
      <c r="C16" s="21"/>
      <c r="E16" s="156"/>
    </row>
    <row r="17" spans="1:6" ht="24.75" customHeight="1" x14ac:dyDescent="0.2">
      <c r="A17" s="144"/>
      <c r="B17" s="145"/>
      <c r="C17" s="146"/>
      <c r="D17" s="147"/>
      <c r="E17" s="156"/>
      <c r="F17" s="146"/>
    </row>
    <row r="18" spans="1:6" ht="24.75" customHeight="1" x14ac:dyDescent="0.2">
      <c r="A18" s="144"/>
      <c r="B18" s="145"/>
      <c r="C18" s="146"/>
      <c r="D18" s="147"/>
      <c r="E18" s="147"/>
      <c r="F18" s="146"/>
    </row>
    <row r="19" spans="1:6" ht="24.75" customHeight="1" x14ac:dyDescent="0.2">
      <c r="A19" s="144"/>
      <c r="B19" s="145"/>
      <c r="C19" s="146"/>
      <c r="D19" s="146"/>
      <c r="E19" s="146"/>
      <c r="F19" s="146"/>
    </row>
    <row r="20" spans="1:6" ht="24.75" customHeight="1" x14ac:dyDescent="0.2">
      <c r="A20" s="144"/>
      <c r="B20" s="145"/>
      <c r="C20" s="146"/>
      <c r="D20" s="146"/>
      <c r="E20" s="146"/>
      <c r="F20" s="146"/>
    </row>
    <row r="21" spans="1:6" ht="24.75" customHeight="1" x14ac:dyDescent="0.2">
      <c r="A21" s="144"/>
      <c r="B21" s="145"/>
      <c r="C21" s="146"/>
      <c r="D21" s="147"/>
      <c r="E21" s="146"/>
      <c r="F21" s="146"/>
    </row>
    <row r="22" spans="1:6" ht="24.75" customHeight="1" x14ac:dyDescent="0.2">
      <c r="A22" s="144"/>
      <c r="B22" s="145"/>
      <c r="C22" s="146"/>
      <c r="D22" s="146"/>
      <c r="E22" s="146"/>
      <c r="F22" s="146"/>
    </row>
  </sheetData>
  <mergeCells count="4">
    <mergeCell ref="B3:C3"/>
    <mergeCell ref="B4:C4"/>
    <mergeCell ref="B6:C6"/>
    <mergeCell ref="B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I48"/>
  <sheetViews>
    <sheetView topLeftCell="B27" zoomScaleNormal="100" zoomScaleSheetLayoutView="80" workbookViewId="0">
      <selection activeCell="E34" sqref="E34"/>
    </sheetView>
  </sheetViews>
  <sheetFormatPr baseColWidth="10" defaultColWidth="9.140625" defaultRowHeight="15" x14ac:dyDescent="0.2"/>
  <cols>
    <col min="1" max="1" width="7.5703125" style="4" bestFit="1" customWidth="1"/>
    <col min="2" max="2" width="46.7109375" style="4" customWidth="1"/>
    <col min="3" max="3" width="68.85546875" style="4" customWidth="1"/>
    <col min="4" max="5" width="21.5703125" style="29" bestFit="1" customWidth="1"/>
    <col min="6" max="6" width="20" style="29" customWidth="1"/>
    <col min="7" max="7" width="15.7109375" style="29" bestFit="1" customWidth="1"/>
    <col min="8" max="8" width="21.140625" style="4" customWidth="1"/>
    <col min="9" max="9" width="16.85546875" style="4" bestFit="1" customWidth="1"/>
    <col min="10" max="10" width="9.85546875" style="4" bestFit="1" customWidth="1"/>
    <col min="11" max="16384" width="9.140625" style="4"/>
  </cols>
  <sheetData>
    <row r="1" spans="2:8" ht="18" customHeight="1" x14ac:dyDescent="0.25">
      <c r="B1" s="632"/>
      <c r="C1" s="632"/>
      <c r="D1" s="632"/>
      <c r="E1" s="632"/>
      <c r="F1" s="632"/>
    </row>
    <row r="2" spans="2:8" ht="24.75" customHeight="1" x14ac:dyDescent="0.25">
      <c r="B2" s="28"/>
      <c r="C2" s="28"/>
      <c r="D2" s="28"/>
      <c r="E2" s="28"/>
      <c r="F2" s="28"/>
    </row>
    <row r="3" spans="2:8" ht="24.75" customHeight="1" x14ac:dyDescent="0.25">
      <c r="B3" s="632" t="s">
        <v>243</v>
      </c>
      <c r="C3" s="632"/>
      <c r="D3" s="632"/>
      <c r="E3" s="632"/>
      <c r="F3" s="632"/>
    </row>
    <row r="4" spans="2:8" ht="24.75" customHeight="1" x14ac:dyDescent="0.25">
      <c r="B4" s="632" t="s">
        <v>223</v>
      </c>
      <c r="C4" s="632"/>
      <c r="D4" s="632"/>
      <c r="E4" s="632"/>
      <c r="F4" s="632"/>
    </row>
    <row r="5" spans="2:8" ht="24.75" customHeight="1" x14ac:dyDescent="0.25">
      <c r="B5" s="632" t="s">
        <v>250</v>
      </c>
      <c r="C5" s="632"/>
      <c r="D5" s="632"/>
      <c r="E5" s="632"/>
      <c r="F5" s="632"/>
    </row>
    <row r="6" spans="2:8" ht="24.75" customHeight="1" x14ac:dyDescent="0.25">
      <c r="B6" s="648">
        <v>45930</v>
      </c>
      <c r="C6" s="648"/>
      <c r="D6" s="648"/>
      <c r="E6" s="648"/>
      <c r="F6" s="648"/>
    </row>
    <row r="7" spans="2:8" ht="24.75" customHeight="1" thickBot="1" x14ac:dyDescent="0.25">
      <c r="D7" s="4"/>
      <c r="E7" s="4"/>
      <c r="F7" s="4"/>
    </row>
    <row r="8" spans="2:8" ht="24.75" customHeight="1" x14ac:dyDescent="0.25">
      <c r="B8" s="651" t="s">
        <v>215</v>
      </c>
      <c r="C8" s="652"/>
      <c r="D8" s="176" t="s">
        <v>251</v>
      </c>
      <c r="E8" s="655" t="s">
        <v>252</v>
      </c>
      <c r="F8" s="177" t="s">
        <v>251</v>
      </c>
      <c r="G8" s="4"/>
    </row>
    <row r="9" spans="2:8" ht="24.75" customHeight="1" thickBot="1" x14ac:dyDescent="0.3">
      <c r="B9" s="653"/>
      <c r="C9" s="654"/>
      <c r="D9" s="178" t="s">
        <v>253</v>
      </c>
      <c r="E9" s="656"/>
      <c r="F9" s="179" t="s">
        <v>254</v>
      </c>
      <c r="G9" s="4"/>
    </row>
    <row r="10" spans="2:8" ht="39.6" customHeight="1" x14ac:dyDescent="0.2">
      <c r="B10" s="649" t="s">
        <v>255</v>
      </c>
      <c r="C10" s="180" t="s">
        <v>256</v>
      </c>
      <c r="D10" s="181">
        <v>617492.96</v>
      </c>
      <c r="E10" s="181"/>
      <c r="F10" s="182">
        <f t="shared" ref="F10:F12" si="0">D10-E10</f>
        <v>617492.96</v>
      </c>
      <c r="G10" s="4"/>
      <c r="H10" s="21"/>
    </row>
    <row r="11" spans="2:8" ht="39.6" customHeight="1" x14ac:dyDescent="0.2">
      <c r="B11" s="650"/>
      <c r="C11" s="183" t="s">
        <v>257</v>
      </c>
      <c r="D11" s="149">
        <v>4476.88</v>
      </c>
      <c r="E11" s="149"/>
      <c r="F11" s="184">
        <f t="shared" si="0"/>
        <v>4476.88</v>
      </c>
      <c r="G11" s="4"/>
      <c r="H11" s="21"/>
    </row>
    <row r="12" spans="2:8" ht="39.6" customHeight="1" x14ac:dyDescent="0.25">
      <c r="B12" s="185" t="s">
        <v>258</v>
      </c>
      <c r="C12" s="183" t="s">
        <v>736</v>
      </c>
      <c r="D12" s="149">
        <v>743275.76</v>
      </c>
      <c r="E12" s="149"/>
      <c r="F12" s="149">
        <f t="shared" si="0"/>
        <v>743275.76</v>
      </c>
      <c r="G12" s="4"/>
      <c r="H12" s="21"/>
    </row>
    <row r="13" spans="2:8" ht="39.6" customHeight="1" x14ac:dyDescent="0.25">
      <c r="B13" s="185" t="s">
        <v>804</v>
      </c>
      <c r="C13" s="183" t="s">
        <v>737</v>
      </c>
      <c r="D13" s="149">
        <v>25017.630000000005</v>
      </c>
      <c r="E13" s="149"/>
      <c r="F13" s="149">
        <f>D13-E13</f>
        <v>25017.630000000005</v>
      </c>
      <c r="H13" s="21"/>
    </row>
    <row r="14" spans="2:8" ht="39.6" customHeight="1" x14ac:dyDescent="0.2">
      <c r="B14" s="186" t="s">
        <v>259</v>
      </c>
      <c r="C14" s="183" t="s">
        <v>260</v>
      </c>
      <c r="D14" s="149">
        <v>601501.59</v>
      </c>
      <c r="E14" s="149"/>
      <c r="F14" s="149">
        <f>D14-E14</f>
        <v>601501.59</v>
      </c>
      <c r="H14" s="21"/>
    </row>
    <row r="15" spans="2:8" ht="39.6" customHeight="1" x14ac:dyDescent="0.2">
      <c r="B15" s="185" t="s">
        <v>261</v>
      </c>
      <c r="C15" s="183" t="s">
        <v>262</v>
      </c>
      <c r="D15" s="149">
        <v>608783.95000000007</v>
      </c>
      <c r="E15" s="149"/>
      <c r="F15" s="149">
        <f>D15-E15</f>
        <v>608783.95000000007</v>
      </c>
      <c r="H15" s="21"/>
    </row>
    <row r="16" spans="2:8" ht="39.6" customHeight="1" x14ac:dyDescent="0.2">
      <c r="B16" s="185" t="s">
        <v>263</v>
      </c>
      <c r="C16" s="183" t="s">
        <v>264</v>
      </c>
      <c r="D16" s="149">
        <v>104068.5</v>
      </c>
      <c r="E16" s="149">
        <v>91558.03</v>
      </c>
      <c r="F16" s="149">
        <f t="shared" ref="F16:F23" si="1">D16-E16</f>
        <v>12510.470000000001</v>
      </c>
      <c r="H16" s="21"/>
    </row>
    <row r="17" spans="2:9" ht="39.6" customHeight="1" x14ac:dyDescent="0.2">
      <c r="B17" s="185" t="s">
        <v>266</v>
      </c>
      <c r="C17" s="183" t="s">
        <v>267</v>
      </c>
      <c r="D17" s="149">
        <v>499058.10999999993</v>
      </c>
      <c r="E17" s="149"/>
      <c r="F17" s="149">
        <f t="shared" si="1"/>
        <v>499058.10999999993</v>
      </c>
      <c r="H17" s="21"/>
    </row>
    <row r="18" spans="2:9" ht="39.6" customHeight="1" x14ac:dyDescent="0.2">
      <c r="B18" s="185" t="s">
        <v>268</v>
      </c>
      <c r="C18" s="183" t="s">
        <v>269</v>
      </c>
      <c r="D18" s="149">
        <v>639569.22</v>
      </c>
      <c r="E18" s="149">
        <v>46161.86</v>
      </c>
      <c r="F18" s="149">
        <f t="shared" si="1"/>
        <v>593407.36</v>
      </c>
      <c r="H18" s="21"/>
      <c r="I18" s="187"/>
    </row>
    <row r="19" spans="2:9" ht="39.6" customHeight="1" x14ac:dyDescent="0.2">
      <c r="B19" s="185" t="s">
        <v>270</v>
      </c>
      <c r="C19" s="183" t="s">
        <v>271</v>
      </c>
      <c r="D19" s="149">
        <v>851941.5199999999</v>
      </c>
      <c r="E19" s="149">
        <f>67011.97+323371.84+273564.81</f>
        <v>663948.62000000011</v>
      </c>
      <c r="F19" s="149">
        <f t="shared" si="1"/>
        <v>187992.89999999979</v>
      </c>
      <c r="H19" s="21"/>
    </row>
    <row r="20" spans="2:9" ht="31.15" customHeight="1" x14ac:dyDescent="0.2">
      <c r="B20" s="185" t="s">
        <v>272</v>
      </c>
      <c r="C20" s="183" t="s">
        <v>273</v>
      </c>
      <c r="D20" s="149">
        <v>1762344.18</v>
      </c>
      <c r="E20" s="149">
        <f>235574.08+226712.69+213416.11+229506.01+236973.83</f>
        <v>1142182.72</v>
      </c>
      <c r="F20" s="149">
        <f t="shared" si="1"/>
        <v>620161.46</v>
      </c>
      <c r="H20" s="21"/>
    </row>
    <row r="21" spans="2:9" ht="39.6" customHeight="1" x14ac:dyDescent="0.2">
      <c r="B21" s="185" t="s">
        <v>274</v>
      </c>
      <c r="C21" s="183" t="s">
        <v>275</v>
      </c>
      <c r="D21" s="149">
        <v>942080.79</v>
      </c>
      <c r="E21" s="149">
        <f>60579.28+105283.77</f>
        <v>165863.04999999999</v>
      </c>
      <c r="F21" s="149">
        <f t="shared" si="1"/>
        <v>776217.74</v>
      </c>
      <c r="H21" s="21"/>
    </row>
    <row r="22" spans="2:9" ht="37.15" customHeight="1" x14ac:dyDescent="0.2">
      <c r="B22" s="186" t="s">
        <v>265</v>
      </c>
      <c r="C22" s="183" t="s">
        <v>276</v>
      </c>
      <c r="D22" s="149">
        <v>2257548</v>
      </c>
      <c r="E22" s="149">
        <f>301624.06+330236.89+273097.18+150481.58+238893.34+241462.29+302629.52</f>
        <v>1838424.86</v>
      </c>
      <c r="F22" s="149">
        <f t="shared" si="1"/>
        <v>419123.1399999999</v>
      </c>
      <c r="H22" s="21"/>
    </row>
    <row r="23" spans="2:9" ht="50.45" customHeight="1" x14ac:dyDescent="0.2">
      <c r="B23" s="185" t="s">
        <v>277</v>
      </c>
      <c r="C23" s="183" t="s">
        <v>278</v>
      </c>
      <c r="D23" s="149">
        <v>485158.58</v>
      </c>
      <c r="E23" s="149"/>
      <c r="F23" s="149">
        <f t="shared" si="1"/>
        <v>485158.58</v>
      </c>
      <c r="H23" s="21"/>
    </row>
    <row r="24" spans="2:9" ht="45" x14ac:dyDescent="0.2">
      <c r="B24" s="189" t="s">
        <v>280</v>
      </c>
      <c r="C24" s="188" t="s">
        <v>281</v>
      </c>
      <c r="D24" s="149">
        <v>1168921.01</v>
      </c>
      <c r="E24" s="149">
        <f>369830.56+623527.83</f>
        <v>993358.3899999999</v>
      </c>
      <c r="F24" s="149">
        <f t="shared" ref="F24:F27" si="2">D24-E24</f>
        <v>175562.62000000011</v>
      </c>
      <c r="H24" s="21"/>
    </row>
    <row r="25" spans="2:9" ht="39" customHeight="1" x14ac:dyDescent="0.2">
      <c r="B25" s="189" t="s">
        <v>283</v>
      </c>
      <c r="C25" s="188" t="s">
        <v>284</v>
      </c>
      <c r="D25" s="149">
        <v>1252298.3899999999</v>
      </c>
      <c r="E25" s="149">
        <f>292101.94+357646.09+328346.97+81497.03</f>
        <v>1059592.03</v>
      </c>
      <c r="F25" s="149">
        <f t="shared" si="2"/>
        <v>192706.35999999987</v>
      </c>
      <c r="H25" s="21"/>
    </row>
    <row r="26" spans="2:9" ht="39" customHeight="1" x14ac:dyDescent="0.2">
      <c r="B26" s="189" t="s">
        <v>280</v>
      </c>
      <c r="C26" s="188" t="s">
        <v>520</v>
      </c>
      <c r="D26" s="149">
        <v>232924.81</v>
      </c>
      <c r="E26" s="149">
        <v>0</v>
      </c>
      <c r="F26" s="149">
        <f t="shared" si="2"/>
        <v>232924.81</v>
      </c>
      <c r="H26" s="21"/>
    </row>
    <row r="27" spans="2:9" ht="53.25" customHeight="1" x14ac:dyDescent="0.2">
      <c r="B27" s="189" t="s">
        <v>285</v>
      </c>
      <c r="C27" s="188" t="s">
        <v>519</v>
      </c>
      <c r="D27" s="149">
        <v>186534.47</v>
      </c>
      <c r="E27" s="149">
        <f>157294.6</f>
        <v>157294.6</v>
      </c>
      <c r="F27" s="149">
        <f t="shared" si="2"/>
        <v>29239.869999999995</v>
      </c>
      <c r="H27" s="21"/>
    </row>
    <row r="28" spans="2:9" ht="53.25" customHeight="1" x14ac:dyDescent="0.2">
      <c r="B28" s="189" t="s">
        <v>282</v>
      </c>
      <c r="C28" s="188" t="s">
        <v>831</v>
      </c>
      <c r="D28" s="149">
        <v>2178011.71</v>
      </c>
      <c r="E28" s="149">
        <v>0</v>
      </c>
      <c r="F28" s="149">
        <f t="shared" ref="F28" si="3">D28-E28</f>
        <v>2178011.71</v>
      </c>
      <c r="H28" s="21"/>
    </row>
    <row r="29" spans="2:9" ht="53.25" customHeight="1" x14ac:dyDescent="0.2">
      <c r="B29" s="189" t="s">
        <v>285</v>
      </c>
      <c r="C29" s="188" t="s">
        <v>832</v>
      </c>
      <c r="D29" s="149">
        <v>709240.74</v>
      </c>
      <c r="E29" s="149">
        <v>0</v>
      </c>
      <c r="F29" s="149">
        <f t="shared" ref="F29:F30" si="4">D29-E29</f>
        <v>709240.74</v>
      </c>
      <c r="H29" s="21"/>
    </row>
    <row r="30" spans="2:9" ht="53.25" customHeight="1" x14ac:dyDescent="0.35">
      <c r="B30" s="189" t="s">
        <v>862</v>
      </c>
      <c r="C30" s="188" t="s">
        <v>894</v>
      </c>
      <c r="D30" s="190">
        <v>594000</v>
      </c>
      <c r="E30" s="190">
        <v>0</v>
      </c>
      <c r="F30" s="190">
        <f t="shared" si="4"/>
        <v>594000</v>
      </c>
      <c r="H30" s="21"/>
    </row>
    <row r="31" spans="2:9" ht="29.25" customHeight="1" x14ac:dyDescent="0.4">
      <c r="B31" s="191"/>
      <c r="C31" s="192" t="s">
        <v>286</v>
      </c>
      <c r="D31" s="152">
        <f>SUM(D10:D30)</f>
        <v>16464248.800000003</v>
      </c>
      <c r="E31" s="152">
        <f>SUM(E10:E30)</f>
        <v>6158384.1599999992</v>
      </c>
      <c r="F31" s="152">
        <f>SUM(F10:F30)</f>
        <v>10305864.639999999</v>
      </c>
      <c r="H31" s="29"/>
    </row>
    <row r="32" spans="2:9" ht="21.75" customHeight="1" x14ac:dyDescent="0.2">
      <c r="B32" s="191"/>
      <c r="C32" s="191"/>
      <c r="D32" s="149"/>
      <c r="E32" s="149"/>
      <c r="F32" s="149"/>
      <c r="H32" s="21"/>
    </row>
    <row r="33" spans="3:8" x14ac:dyDescent="0.2">
      <c r="H33" s="21"/>
    </row>
    <row r="34" spans="3:8" x14ac:dyDescent="0.2">
      <c r="H34" s="21"/>
    </row>
    <row r="35" spans="3:8" ht="15.75" x14ac:dyDescent="0.25">
      <c r="C35" s="193" t="s">
        <v>287</v>
      </c>
      <c r="H35" s="21"/>
    </row>
    <row r="36" spans="3:8" x14ac:dyDescent="0.2">
      <c r="C36" s="29"/>
    </row>
    <row r="37" spans="3:8" x14ac:dyDescent="0.2">
      <c r="C37" s="194"/>
      <c r="D37" s="195"/>
      <c r="G37" s="196"/>
    </row>
    <row r="38" spans="3:8" x14ac:dyDescent="0.2">
      <c r="C38" s="194"/>
      <c r="D38" s="195"/>
      <c r="G38" s="196"/>
    </row>
    <row r="48" spans="3:8" x14ac:dyDescent="0.2">
      <c r="F48" s="29">
        <v>0</v>
      </c>
    </row>
  </sheetData>
  <mergeCells count="8">
    <mergeCell ref="B5:F5"/>
    <mergeCell ref="B10:B11"/>
    <mergeCell ref="B1:F1"/>
    <mergeCell ref="B3:F3"/>
    <mergeCell ref="B8:C9"/>
    <mergeCell ref="B4:F4"/>
    <mergeCell ref="B6:F6"/>
    <mergeCell ref="E8:E9"/>
  </mergeCells>
  <phoneticPr fontId="75" type="noConversion"/>
  <pageMargins left="0.37" right="0.45" top="0.98425196850393704" bottom="0.59055118110236227" header="0.45" footer="0"/>
  <pageSetup scale="5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818AFEAD-B07C-4143-B1DB-C84A104FD8A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985AB6D-214B-4A27-B419-3975F8D8E8DA}"/>
</file>

<file path=customXml/itemProps3.xml><?xml version="1.0" encoding="utf-8"?>
<ds:datastoreItem xmlns:ds="http://schemas.openxmlformats.org/officeDocument/2006/customXml" ds:itemID="{129C60E9-23AB-43E9-A4AB-19167BA2FC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187603-E1DF-40ED-A8CE-010332182A7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29fe298-b51a-4ddb-9231-b6d9f99174b5"/>
    <ds:schemaRef ds:uri="5234e139-98e4-4c0e-a873-2c35232cb74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26</vt:i4>
      </vt:variant>
    </vt:vector>
  </HeadingPairs>
  <TitlesOfParts>
    <vt:vector size="61" baseType="lpstr">
      <vt:lpstr>Estado Situación</vt:lpstr>
      <vt:lpstr>Estado de Resultados</vt:lpstr>
      <vt:lpstr>A-SITUACION ANEXOS</vt:lpstr>
      <vt:lpstr>NOTA 14-CAPITAL</vt:lpstr>
      <vt:lpstr>A-RESULTADOS ANEXOS</vt:lpstr>
      <vt:lpstr>Cédula Nota 1</vt:lpstr>
      <vt:lpstr>Cédula Nota 2 </vt:lpstr>
      <vt:lpstr>Nota 3 Resumen</vt:lpstr>
      <vt:lpstr>NOTA 3-C-CONST </vt:lpstr>
      <vt:lpstr>NOTA 3-ANTIC COMP Y OTRAS</vt:lpstr>
      <vt:lpstr>NOTA 3-Intereses</vt:lpstr>
      <vt:lpstr>Nota 3 CxC Emplead</vt:lpstr>
      <vt:lpstr>NOTA 3-C X C</vt:lpstr>
      <vt:lpstr>NOTA 4  INVENTARIO</vt:lpstr>
      <vt:lpstr>NOTA 5  GPA</vt:lpstr>
      <vt:lpstr>NOTA 5-SEG PAG X ANT</vt:lpstr>
      <vt:lpstr>NOTA 5 - LIC MS 365 AMORTIZ</vt:lpstr>
      <vt:lpstr>NOTA 5 LIC ALDABA LINKEDIN</vt:lpstr>
      <vt:lpstr>NOTA 5 LICENCIAS JIRA</vt:lpstr>
      <vt:lpstr>NOTA 5 LIC ANTIDESASTRES</vt:lpstr>
      <vt:lpstr>NOTA 5 Licencias Adobe</vt:lpstr>
      <vt:lpstr>NOTA 5 Lic Vincent IA</vt:lpstr>
      <vt:lpstr>NOTA 6-DIVIDENDOS</vt:lpstr>
      <vt:lpstr>NOTA 7-AVANCES A FUTURAS CAPIT</vt:lpstr>
      <vt:lpstr>Tabacalera</vt:lpstr>
      <vt:lpstr>NOTA 8-MOBILIARIO Y EQUIPOS, NE</vt:lpstr>
      <vt:lpstr>NOTA 9-CEDULAS CxP PROVEEDORES </vt:lpstr>
      <vt:lpstr>NOTA 10-CEDULAS CxP CONTRATISTA</vt:lpstr>
      <vt:lpstr>NOTA 11-GASTOS PERSONAL X PAGAR</vt:lpstr>
      <vt:lpstr>NOTA 11-BONIFICACION</vt:lpstr>
      <vt:lpstr>NOTA 11-REGALIA</vt:lpstr>
      <vt:lpstr>NOTA 11-VACACIONES</vt:lpstr>
      <vt:lpstr>NOTA 12-RETENCIONES X PAGAR</vt:lpstr>
      <vt:lpstr>NOTA 13-OTRAS CXP</vt:lpstr>
      <vt:lpstr>Hoja5</vt:lpstr>
      <vt:lpstr>'A-RESULTADOS ANEXOS'!Área_de_impresión</vt:lpstr>
      <vt:lpstr>'A-SITUACION ANEXOS'!Área_de_impresión</vt:lpstr>
      <vt:lpstr>'Cédula Nota 1'!Área_de_impresión</vt:lpstr>
      <vt:lpstr>'Cédula Nota 2 '!Área_de_impresión</vt:lpstr>
      <vt:lpstr>'Estado de Resultados'!Área_de_impresión</vt:lpstr>
      <vt:lpstr>'Estado Situación'!Área_de_impresión</vt:lpstr>
      <vt:lpstr>'NOTA 10-CEDULAS CxP CONTRATISTA'!Área_de_impresión</vt:lpstr>
      <vt:lpstr>'NOTA 11-BONIFICACION'!Área_de_impresión</vt:lpstr>
      <vt:lpstr>'NOTA 11-GASTOS PERSONAL X PAGAR'!Área_de_impresión</vt:lpstr>
      <vt:lpstr>'NOTA 11-VACACIONES'!Área_de_impresión</vt:lpstr>
      <vt:lpstr>'NOTA 12-RETENCIONES X PAGAR'!Área_de_impresión</vt:lpstr>
      <vt:lpstr>'NOTA 13-OTRAS CXP'!Área_de_impresión</vt:lpstr>
      <vt:lpstr>'NOTA 14-CAPITAL'!Área_de_impresión</vt:lpstr>
      <vt:lpstr>'NOTA 3-ANTIC COMP Y OTRAS'!Área_de_impresión</vt:lpstr>
      <vt:lpstr>'NOTA 3-C X C'!Área_de_impresión</vt:lpstr>
      <vt:lpstr>'NOTA 3-C-CONST '!Área_de_impresión</vt:lpstr>
      <vt:lpstr>'NOTA 4  INVENTARIO'!Área_de_impresión</vt:lpstr>
      <vt:lpstr>'NOTA 5  GPA'!Área_de_impresión</vt:lpstr>
      <vt:lpstr>'NOTA 5 - LIC MS 365 AMORTIZ'!Área_de_impresión</vt:lpstr>
      <vt:lpstr>'NOTA 7-AVANCES A FUTURAS CAPIT'!Área_de_impresión</vt:lpstr>
      <vt:lpstr>'NOTA 8-MOBILIARIO Y EQUIPOS, NE'!Área_de_impresión</vt:lpstr>
      <vt:lpstr>'NOTA 9-CEDULAS CxP PROVEEDORES '!Área_de_impresión</vt:lpstr>
      <vt:lpstr>'A-RESULTADOS ANEXOS'!Títulos_a_imprimir</vt:lpstr>
      <vt:lpstr>'A-SITUACION ANEXOS'!Títulos_a_imprimir</vt:lpstr>
      <vt:lpstr>'NOTA 11-VACACIONES'!Títulos_a_imprimir</vt:lpstr>
      <vt:lpstr>'NOTA 3-C-CONST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2025-10-14T17:30:52Z</cp:lastPrinted>
  <dcterms:created xsi:type="dcterms:W3CDTF">2008-09-03T15:34:54Z</dcterms:created>
  <dcterms:modified xsi:type="dcterms:W3CDTF">2025-10-15T15:25:44Z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Katty Suero</vt:lpwstr>
  </property>
  <property fmtid="{D5CDD505-2E9C-101B-9397-08002B2CF9AE}" pid="3" name="Order">
    <vt:lpwstr>1188400.00000000</vt:lpwstr>
  </property>
  <property fmtid="{D5CDD505-2E9C-101B-9397-08002B2CF9AE}" pid="4" name="display_urn:schemas-microsoft-com:office:office#Author">
    <vt:lpwstr>Katty Suero</vt:lpwstr>
  </property>
  <property fmtid="{D5CDD505-2E9C-101B-9397-08002B2CF9AE}" pid="5" name="ContentTypeId">
    <vt:lpwstr>0x0101004FD84E918004A044BCE378A5E7129897</vt:lpwstr>
  </property>
  <property fmtid="{D5CDD505-2E9C-101B-9397-08002B2CF9AE}" pid="6" name="MediaServiceImageTags">
    <vt:lpwstr/>
  </property>
</Properties>
</file>