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ccuevas_fonper_gov_do/Documents/Escritorio/"/>
    </mc:Choice>
  </mc:AlternateContent>
  <xr:revisionPtr revIDLastSave="594" documentId="8_{C7A2ABC7-DBDE-4994-AB91-3CF1A14EAEEF}" xr6:coauthVersionLast="47" xr6:coauthVersionMax="47" xr10:uidLastSave="{4570A3A0-299B-46AE-8C55-C89D78A2E979}"/>
  <bookViews>
    <workbookView xWindow="-120" yWindow="-120" windowWidth="20730" windowHeight="11160" tabRatio="840" xr2:uid="{00000000-000D-0000-FFFF-FFFF00000000}"/>
  </bookViews>
  <sheets>
    <sheet name="Estado Situación" sheetId="2" r:id="rId1"/>
    <sheet name="Estado de Resultados" sheetId="1" r:id="rId2"/>
    <sheet name="A-SITUACION ANEXOS" sheetId="19" r:id="rId3"/>
    <sheet name="A-RESULTADOS ANEXOS" sheetId="34" r:id="rId4"/>
    <sheet name="NOTA 14-CAPITAL" sheetId="16" r:id="rId5"/>
    <sheet name="Cédula Nota 1" sheetId="31" state="hidden" r:id="rId6"/>
    <sheet name="Cédula Nota 2 " sheetId="26" state="hidden" r:id="rId7"/>
    <sheet name="Nota 3 Resumen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4  INVENTARIO" sheetId="37" state="hidden" r:id="rId14"/>
    <sheet name="NOTA 5  GPA" sheetId="39" state="hidden" r:id="rId15"/>
    <sheet name="NOTA 5-SEG PAG X ANT" sheetId="23" state="hidden" r:id="rId16"/>
    <sheet name="NOTA 5 - LIC MS 365 AMORTIZ" sheetId="38" state="hidden" r:id="rId17"/>
    <sheet name="NOTA 5 LICENCIAS JIRA" sheetId="46" state="hidden" r:id="rId18"/>
    <sheet name="NOTA 5 LIC ANTIDESASTRES" sheetId="54" state="hidden" r:id="rId19"/>
    <sheet name="NOTA 5 Licencias Adobe" sheetId="47" state="hidden" r:id="rId20"/>
    <sheet name="NOTA 6-DIVIDENDOS" sheetId="32" state="hidden" r:id="rId21"/>
    <sheet name="NOTA 7-AVANCES A FUTURAS CAPIT" sheetId="51" state="hidden" r:id="rId22"/>
    <sheet name="Tabacalera" sheetId="53" state="hidden" r:id="rId23"/>
    <sheet name="NOTA 8-MOBILIARIO Y EQUIPOS, NE" sheetId="29" state="hidden" r:id="rId24"/>
    <sheet name="NOTA 9-CEDULAS CxP PROVEEDORES " sheetId="25" state="hidden" r:id="rId25"/>
    <sheet name="NOTA 10-CEDULAS CxP CONTRATISTA" sheetId="52" state="hidden" r:id="rId26"/>
    <sheet name="NOTA 11-GASTOS PERSONAL X PAGAR" sheetId="35" state="hidden" r:id="rId27"/>
    <sheet name="NOTA 11-BONIFICACION" sheetId="42" state="hidden" r:id="rId28"/>
    <sheet name="NOTA 11-VACACIONES" sheetId="44" state="hidden" r:id="rId29"/>
    <sheet name="NOTA 11-REGALIA" sheetId="36" state="hidden" r:id="rId30"/>
    <sheet name="NOTA 12-RETENCIONES X PAGAR" sheetId="50" state="hidden" r:id="rId31"/>
    <sheet name="NOTA 13-OTRAS CXP" sheetId="30" state="hidden" r:id="rId32"/>
    <sheet name="Hoja5" sheetId="20" state="hidden" r:id="rId33"/>
  </sheets>
  <definedNames>
    <definedName name="_xlnm.Print_Area" localSheetId="3">'A-RESULTADOS ANEXOS'!$A$1:$F$139</definedName>
    <definedName name="_xlnm.Print_Area" localSheetId="2">'A-SITUACION ANEXOS'!$A$1:$F$164</definedName>
    <definedName name="_xlnm.Print_Area" localSheetId="5">'Cédula Nota 1'!$A$1:$E$16</definedName>
    <definedName name="_xlnm.Print_Area" localSheetId="6">'Cédula Nota 2 '!$A$1:$E$21</definedName>
    <definedName name="_xlnm.Print_Area" localSheetId="1">'Estado de Resultados'!$A$1:$E$55</definedName>
    <definedName name="_xlnm.Print_Area" localSheetId="0">'Estado Situación'!$A$1:$E$63</definedName>
    <definedName name="_xlnm.Print_Area" localSheetId="25">'NOTA 10-CEDULAS CxP CONTRATISTA'!$A$1:$C$46</definedName>
    <definedName name="_xlnm.Print_Area" localSheetId="27">'NOTA 11-BONIFICACION'!#REF!</definedName>
    <definedName name="_xlnm.Print_Area" localSheetId="26">'NOTA 11-GASTOS PERSONAL X PAGAR'!$A$1:$B$60</definedName>
    <definedName name="_xlnm.Print_Area" localSheetId="30">'NOTA 12-RETENCIONES X PAGAR'!$A$1:$B$43</definedName>
    <definedName name="_xlnm.Print_Area" localSheetId="31">'NOTA 13-OTRAS CXP'!$A$1:$B$16</definedName>
    <definedName name="_xlnm.Print_Area" localSheetId="4">'NOTA 14-CAPITAL'!$A$1:$H$27</definedName>
    <definedName name="_xlnm.Print_Area" localSheetId="9">'NOTA 3-ANTIC COMP Y OTRAS'!$B$1:$F$24</definedName>
    <definedName name="_xlnm.Print_Area" localSheetId="12">'NOTA 3-C X C'!$B$1:$C$17</definedName>
    <definedName name="_xlnm.Print_Area" localSheetId="8">'NOTA 3-C-CONST '!$A$1:$F$36</definedName>
    <definedName name="_xlnm.Print_Area" localSheetId="13">'NOTA 4  INVENTARIO'!$A$1:$C$35</definedName>
    <definedName name="_xlnm.Print_Area" localSheetId="14">'NOTA 5  GPA'!$A$1:$C$18</definedName>
    <definedName name="_xlnm.Print_Area" localSheetId="16">'NOTA 5 - LIC MS 365 AMORTIZ'!$A$1:$F$45</definedName>
    <definedName name="_xlnm.Print_Area" localSheetId="21">'NOTA 7-AVANCES A FUTURAS CAPIT'!$A$1:$D$43</definedName>
    <definedName name="_xlnm.Print_Area" localSheetId="23">'NOTA 8-MOBILIARIO Y EQUIPOS, NE'!$A$1:$J$31</definedName>
    <definedName name="_xlnm.Print_Area" localSheetId="24">'NOTA 9-CEDULAS CxP PROVEEDORES '!$A$1:$C$107</definedName>
    <definedName name="_xlnm.Print_Titles" localSheetId="3">'A-RESULTADOS ANEXOS'!$1:$8</definedName>
    <definedName name="_xlnm.Print_Titles" localSheetId="2">'A-SITUACION ANEXOS'!$1:$9</definedName>
    <definedName name="_xlnm.Print_Titles" localSheetId="28">'NOTA 11-VACACIONES'!$1:$7</definedName>
    <definedName name="_xlnm.Print_Titles" localSheetId="8">'NOTA 3-C-CONST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5" l="1"/>
  <c r="D49" i="34" l="1"/>
  <c r="C34" i="2"/>
  <c r="F37" i="34"/>
  <c r="F38" i="34"/>
  <c r="C15" i="25" l="1"/>
  <c r="B12" i="30"/>
  <c r="C20" i="2"/>
  <c r="C14" i="39"/>
  <c r="F121" i="34"/>
  <c r="F122" i="34"/>
  <c r="D75" i="19"/>
  <c r="D69" i="19"/>
  <c r="D63" i="19"/>
  <c r="E24" i="53" l="1"/>
  <c r="H33" i="51"/>
  <c r="H48" i="51"/>
  <c r="E17" i="7"/>
  <c r="E33" i="7"/>
  <c r="E34" i="7"/>
  <c r="C36" i="42"/>
  <c r="U99" i="44"/>
  <c r="U96" i="44"/>
  <c r="H92" i="44"/>
  <c r="T92" i="44" s="1"/>
  <c r="F92" i="44"/>
  <c r="H91" i="44"/>
  <c r="T91" i="44" s="1"/>
  <c r="F91" i="44"/>
  <c r="U91" i="44" s="1"/>
  <c r="T90" i="44"/>
  <c r="H90" i="44"/>
  <c r="F90" i="44"/>
  <c r="U90" i="44" s="1"/>
  <c r="H89" i="44"/>
  <c r="T89" i="44" s="1"/>
  <c r="U89" i="44" s="1"/>
  <c r="F89" i="44"/>
  <c r="T88" i="44"/>
  <c r="H88" i="44"/>
  <c r="F88" i="44"/>
  <c r="U88" i="44" s="1"/>
  <c r="H87" i="44"/>
  <c r="T87" i="44" s="1"/>
  <c r="U87" i="44" s="1"/>
  <c r="F87" i="44"/>
  <c r="T86" i="44"/>
  <c r="H86" i="44"/>
  <c r="F86" i="44"/>
  <c r="U86" i="44" s="1"/>
  <c r="H85" i="44"/>
  <c r="T85" i="44" s="1"/>
  <c r="U85" i="44" s="1"/>
  <c r="F85" i="44"/>
  <c r="T84" i="44"/>
  <c r="H84" i="44"/>
  <c r="F84" i="44"/>
  <c r="U84" i="44" s="1"/>
  <c r="H83" i="44"/>
  <c r="T83" i="44" s="1"/>
  <c r="U83" i="44" s="1"/>
  <c r="F83" i="44"/>
  <c r="T82" i="44"/>
  <c r="H82" i="44"/>
  <c r="F82" i="44"/>
  <c r="U82" i="44" s="1"/>
  <c r="H81" i="44"/>
  <c r="T81" i="44" s="1"/>
  <c r="U81" i="44" s="1"/>
  <c r="F81" i="44"/>
  <c r="T80" i="44"/>
  <c r="H80" i="44"/>
  <c r="F80" i="44"/>
  <c r="U80" i="44" s="1"/>
  <c r="H79" i="44"/>
  <c r="T79" i="44" s="1"/>
  <c r="U79" i="44" s="1"/>
  <c r="F79" i="44"/>
  <c r="T78" i="44"/>
  <c r="H78" i="44"/>
  <c r="F78" i="44"/>
  <c r="U78" i="44" s="1"/>
  <c r="H77" i="44"/>
  <c r="T77" i="44" s="1"/>
  <c r="U77" i="44" s="1"/>
  <c r="F77" i="44"/>
  <c r="T76" i="44"/>
  <c r="H76" i="44"/>
  <c r="F76" i="44"/>
  <c r="U76" i="44" s="1"/>
  <c r="H75" i="44"/>
  <c r="T75" i="44" s="1"/>
  <c r="U75" i="44" s="1"/>
  <c r="F75" i="44"/>
  <c r="T74" i="44"/>
  <c r="H74" i="44"/>
  <c r="F74" i="44"/>
  <c r="U74" i="44" s="1"/>
  <c r="H73" i="44"/>
  <c r="T73" i="44" s="1"/>
  <c r="U73" i="44" s="1"/>
  <c r="F73" i="44"/>
  <c r="T72" i="44"/>
  <c r="H72" i="44"/>
  <c r="F72" i="44"/>
  <c r="U72" i="44" s="1"/>
  <c r="H71" i="44"/>
  <c r="T71" i="44" s="1"/>
  <c r="U71" i="44" s="1"/>
  <c r="F71" i="44"/>
  <c r="T70" i="44"/>
  <c r="H70" i="44"/>
  <c r="F70" i="44"/>
  <c r="U70" i="44" s="1"/>
  <c r="H69" i="44"/>
  <c r="T69" i="44" s="1"/>
  <c r="U69" i="44" s="1"/>
  <c r="F69" i="44"/>
  <c r="T68" i="44"/>
  <c r="H68" i="44"/>
  <c r="F68" i="44"/>
  <c r="U68" i="44" s="1"/>
  <c r="H67" i="44"/>
  <c r="T67" i="44" s="1"/>
  <c r="U67" i="44" s="1"/>
  <c r="F67" i="44"/>
  <c r="T66" i="44"/>
  <c r="H66" i="44"/>
  <c r="F66" i="44"/>
  <c r="U66" i="44" s="1"/>
  <c r="H65" i="44"/>
  <c r="T65" i="44" s="1"/>
  <c r="U65" i="44" s="1"/>
  <c r="F65" i="44"/>
  <c r="T64" i="44"/>
  <c r="H64" i="44"/>
  <c r="F64" i="44"/>
  <c r="U64" i="44" s="1"/>
  <c r="H63" i="44"/>
  <c r="T63" i="44" s="1"/>
  <c r="U63" i="44" s="1"/>
  <c r="F63" i="44"/>
  <c r="T62" i="44"/>
  <c r="H62" i="44"/>
  <c r="F62" i="44"/>
  <c r="U62" i="44" s="1"/>
  <c r="H61" i="44"/>
  <c r="T61" i="44" s="1"/>
  <c r="U61" i="44" s="1"/>
  <c r="F61" i="44"/>
  <c r="T60" i="44"/>
  <c r="H60" i="44"/>
  <c r="F60" i="44"/>
  <c r="U60" i="44" s="1"/>
  <c r="H59" i="44"/>
  <c r="T59" i="44" s="1"/>
  <c r="U59" i="44" s="1"/>
  <c r="F59" i="44"/>
  <c r="T58" i="44"/>
  <c r="H58" i="44"/>
  <c r="F58" i="44"/>
  <c r="U58" i="44" s="1"/>
  <c r="H57" i="44"/>
  <c r="T57" i="44" s="1"/>
  <c r="U57" i="44" s="1"/>
  <c r="F57" i="44"/>
  <c r="T56" i="44"/>
  <c r="H56" i="44"/>
  <c r="F56" i="44"/>
  <c r="U56" i="44" s="1"/>
  <c r="H55" i="44"/>
  <c r="T55" i="44" s="1"/>
  <c r="U55" i="44" s="1"/>
  <c r="F55" i="44"/>
  <c r="T54" i="44"/>
  <c r="H54" i="44"/>
  <c r="F54" i="44"/>
  <c r="U54" i="44" s="1"/>
  <c r="H53" i="44"/>
  <c r="T53" i="44" s="1"/>
  <c r="U53" i="44" s="1"/>
  <c r="F53" i="44"/>
  <c r="T52" i="44"/>
  <c r="H52" i="44"/>
  <c r="F52" i="44"/>
  <c r="U52" i="44" s="1"/>
  <c r="H51" i="44"/>
  <c r="T51" i="44" s="1"/>
  <c r="U51" i="44" s="1"/>
  <c r="F51" i="44"/>
  <c r="T50" i="44"/>
  <c r="H50" i="44"/>
  <c r="F50" i="44"/>
  <c r="U50" i="44" s="1"/>
  <c r="H49" i="44"/>
  <c r="T49" i="44" s="1"/>
  <c r="U49" i="44" s="1"/>
  <c r="F49" i="44"/>
  <c r="T48" i="44"/>
  <c r="H48" i="44"/>
  <c r="F48" i="44"/>
  <c r="U48" i="44" s="1"/>
  <c r="H47" i="44"/>
  <c r="T47" i="44" s="1"/>
  <c r="U47" i="44" s="1"/>
  <c r="F47" i="44"/>
  <c r="T46" i="44"/>
  <c r="H46" i="44"/>
  <c r="F46" i="44"/>
  <c r="U46" i="44" s="1"/>
  <c r="H45" i="44"/>
  <c r="T45" i="44" s="1"/>
  <c r="U45" i="44" s="1"/>
  <c r="F45" i="44"/>
  <c r="T44" i="44"/>
  <c r="H44" i="44"/>
  <c r="F44" i="44"/>
  <c r="U44" i="44" s="1"/>
  <c r="H43" i="44"/>
  <c r="T43" i="44" s="1"/>
  <c r="U43" i="44" s="1"/>
  <c r="F43" i="44"/>
  <c r="T42" i="44"/>
  <c r="H42" i="44"/>
  <c r="F42" i="44"/>
  <c r="U42" i="44" s="1"/>
  <c r="H41" i="44"/>
  <c r="T41" i="44" s="1"/>
  <c r="U41" i="44" s="1"/>
  <c r="F41" i="44"/>
  <c r="T40" i="44"/>
  <c r="H40" i="44"/>
  <c r="F40" i="44"/>
  <c r="U40" i="44" s="1"/>
  <c r="H39" i="44"/>
  <c r="T39" i="44" s="1"/>
  <c r="U39" i="44" s="1"/>
  <c r="F39" i="44"/>
  <c r="T38" i="44"/>
  <c r="F38" i="44"/>
  <c r="U38" i="44" s="1"/>
  <c r="T37" i="44"/>
  <c r="H37" i="44"/>
  <c r="F37" i="44"/>
  <c r="U37" i="44" s="1"/>
  <c r="H36" i="44"/>
  <c r="T36" i="44" s="1"/>
  <c r="F36" i="44"/>
  <c r="T35" i="44"/>
  <c r="H35" i="44"/>
  <c r="F35" i="44"/>
  <c r="U35" i="44" s="1"/>
  <c r="H34" i="44"/>
  <c r="T34" i="44" s="1"/>
  <c r="F34" i="44"/>
  <c r="T33" i="44"/>
  <c r="H33" i="44"/>
  <c r="F33" i="44"/>
  <c r="U33" i="44" s="1"/>
  <c r="H32" i="44"/>
  <c r="T32" i="44" s="1"/>
  <c r="F32" i="44"/>
  <c r="U32" i="44" s="1"/>
  <c r="T31" i="44"/>
  <c r="H31" i="44"/>
  <c r="F31" i="44"/>
  <c r="U31" i="44" s="1"/>
  <c r="H30" i="44"/>
  <c r="T30" i="44" s="1"/>
  <c r="F30" i="44"/>
  <c r="U30" i="44" s="1"/>
  <c r="T29" i="44"/>
  <c r="H29" i="44"/>
  <c r="F29" i="44"/>
  <c r="U29" i="44" s="1"/>
  <c r="H28" i="44"/>
  <c r="T28" i="44" s="1"/>
  <c r="F28" i="44"/>
  <c r="T27" i="44"/>
  <c r="H27" i="44"/>
  <c r="F27" i="44"/>
  <c r="U27" i="44" s="1"/>
  <c r="H26" i="44"/>
  <c r="T26" i="44" s="1"/>
  <c r="F26" i="44"/>
  <c r="T25" i="44"/>
  <c r="H25" i="44"/>
  <c r="F25" i="44"/>
  <c r="U25" i="44" s="1"/>
  <c r="H24" i="44"/>
  <c r="T24" i="44" s="1"/>
  <c r="F24" i="44"/>
  <c r="U24" i="44" s="1"/>
  <c r="T23" i="44"/>
  <c r="H23" i="44"/>
  <c r="F23" i="44"/>
  <c r="U23" i="44" s="1"/>
  <c r="H22" i="44"/>
  <c r="T22" i="44" s="1"/>
  <c r="F22" i="44"/>
  <c r="U22" i="44" s="1"/>
  <c r="T21" i="44"/>
  <c r="H21" i="44"/>
  <c r="F21" i="44"/>
  <c r="U21" i="44" s="1"/>
  <c r="H20" i="44"/>
  <c r="T20" i="44" s="1"/>
  <c r="F20" i="44"/>
  <c r="T19" i="44"/>
  <c r="H19" i="44"/>
  <c r="F19" i="44"/>
  <c r="U19" i="44" s="1"/>
  <c r="H18" i="44"/>
  <c r="T18" i="44" s="1"/>
  <c r="F18" i="44"/>
  <c r="T17" i="44"/>
  <c r="H17" i="44"/>
  <c r="F17" i="44"/>
  <c r="U17" i="44" s="1"/>
  <c r="H16" i="44"/>
  <c r="T16" i="44" s="1"/>
  <c r="F16" i="44"/>
  <c r="U16" i="44" s="1"/>
  <c r="T15" i="44"/>
  <c r="H15" i="44"/>
  <c r="F15" i="44"/>
  <c r="U15" i="44" s="1"/>
  <c r="H14" i="44"/>
  <c r="T14" i="44" s="1"/>
  <c r="F14" i="44"/>
  <c r="U14" i="44" s="1"/>
  <c r="T13" i="44"/>
  <c r="H13" i="44"/>
  <c r="F13" i="44"/>
  <c r="U13" i="44" s="1"/>
  <c r="H12" i="44"/>
  <c r="T12" i="44" s="1"/>
  <c r="F12" i="44"/>
  <c r="T11" i="44"/>
  <c r="H11" i="44"/>
  <c r="F11" i="44"/>
  <c r="U11" i="44" s="1"/>
  <c r="H10" i="44"/>
  <c r="T10" i="44" s="1"/>
  <c r="F10" i="44"/>
  <c r="T9" i="44"/>
  <c r="H9" i="44"/>
  <c r="F9" i="44"/>
  <c r="U9" i="44" s="1"/>
  <c r="H8" i="44"/>
  <c r="T8" i="44" s="1"/>
  <c r="F8" i="44"/>
  <c r="U8" i="44" s="1"/>
  <c r="U10" i="44" l="1"/>
  <c r="U26" i="44"/>
  <c r="U20" i="44"/>
  <c r="U36" i="44"/>
  <c r="U93" i="44"/>
  <c r="U18" i="44"/>
  <c r="U34" i="44"/>
  <c r="U92" i="44"/>
  <c r="U12" i="44"/>
  <c r="U28" i="44"/>
  <c r="D34" i="31" l="1"/>
  <c r="D14" i="31"/>
  <c r="F42" i="47"/>
  <c r="F49" i="23"/>
  <c r="F41" i="47"/>
  <c r="F31" i="54"/>
  <c r="F32" i="54" s="1"/>
  <c r="E136" i="34"/>
  <c r="E120" i="34"/>
  <c r="E82" i="34"/>
  <c r="D25" i="19"/>
  <c r="D33" i="1"/>
  <c r="E53" i="19"/>
  <c r="D72" i="19" l="1"/>
  <c r="D66" i="19" l="1"/>
  <c r="F119" i="34"/>
  <c r="D143" i="19"/>
  <c r="C35" i="42"/>
  <c r="H9" i="41" l="1"/>
  <c r="F30" i="54"/>
  <c r="F23" i="29" l="1"/>
  <c r="F22" i="29"/>
  <c r="F21" i="29"/>
  <c r="F16" i="29"/>
  <c r="F15" i="29"/>
  <c r="F14" i="29"/>
  <c r="F20" i="29"/>
  <c r="C106" i="25"/>
  <c r="C107" i="25" s="1"/>
  <c r="F84" i="34"/>
  <c r="F44" i="34"/>
  <c r="F33" i="34"/>
  <c r="C16" i="51"/>
  <c r="D102" i="19" s="1"/>
  <c r="C34" i="36" l="1"/>
  <c r="D120" i="34" l="1"/>
  <c r="F118" i="34"/>
  <c r="F82" i="34"/>
  <c r="F83" i="34"/>
  <c r="F85" i="34"/>
  <c r="E113" i="34"/>
  <c r="E88" i="34"/>
  <c r="E51" i="34"/>
  <c r="F73" i="34" l="1"/>
  <c r="F74" i="34"/>
  <c r="F75" i="34"/>
  <c r="F76" i="34"/>
  <c r="F77" i="34"/>
  <c r="F78" i="34"/>
  <c r="C49" i="25"/>
  <c r="C51" i="25" s="1"/>
  <c r="C32" i="37" l="1"/>
  <c r="B55" i="50" l="1"/>
  <c r="B56" i="50" s="1"/>
  <c r="D88" i="34"/>
  <c r="F72" i="34"/>
  <c r="D51" i="34"/>
  <c r="C82" i="25"/>
  <c r="E18" i="13"/>
  <c r="E23" i="13" s="1"/>
  <c r="F16" i="54" l="1"/>
  <c r="F19" i="54" s="1"/>
  <c r="F29" i="54" l="1"/>
  <c r="F22" i="54"/>
  <c r="F24" i="54" s="1"/>
  <c r="F26" i="54" s="1"/>
  <c r="D26" i="54"/>
  <c r="D24" i="54"/>
  <c r="F41" i="54" l="1"/>
  <c r="F43" i="54" s="1"/>
  <c r="C12" i="39" s="1"/>
  <c r="F41" i="46"/>
  <c r="E41" i="53"/>
  <c r="C96" i="25" l="1"/>
  <c r="D125" i="19" l="1"/>
  <c r="E12" i="26" l="1"/>
  <c r="D24" i="19" s="1"/>
  <c r="C43" i="52" l="1"/>
  <c r="H17" i="29"/>
  <c r="I16" i="29"/>
  <c r="E17" i="29"/>
  <c r="D112" i="19" s="1"/>
  <c r="F112" i="19" s="1"/>
  <c r="J16" i="29"/>
  <c r="D17" i="29"/>
  <c r="D110" i="19" s="1"/>
  <c r="F110" i="19" s="1"/>
  <c r="C17" i="29"/>
  <c r="D108" i="19" s="1"/>
  <c r="F108" i="19" s="1"/>
  <c r="D136" i="34"/>
  <c r="F142" i="19"/>
  <c r="E39" i="19"/>
  <c r="C11" i="45" l="1"/>
  <c r="D35" i="19" l="1"/>
  <c r="C11" i="40"/>
  <c r="E30" i="7"/>
  <c r="F34" i="7"/>
  <c r="F127" i="34" l="1"/>
  <c r="F64" i="34"/>
  <c r="F61" i="34"/>
  <c r="H24" i="29" l="1"/>
  <c r="E24" i="29"/>
  <c r="D113" i="19" s="1"/>
  <c r="F113" i="19" s="1"/>
  <c r="D24" i="29"/>
  <c r="D111" i="19" s="1"/>
  <c r="F111" i="19" s="1"/>
  <c r="C24" i="29"/>
  <c r="D109" i="19" s="1"/>
  <c r="I23" i="29"/>
  <c r="J23" i="29" s="1"/>
  <c r="I22" i="29"/>
  <c r="J22" i="29" s="1"/>
  <c r="I21" i="29"/>
  <c r="I20" i="29"/>
  <c r="H26" i="29"/>
  <c r="I15" i="29"/>
  <c r="I14" i="29"/>
  <c r="J14" i="29" s="1"/>
  <c r="I13" i="29"/>
  <c r="F13" i="29"/>
  <c r="J13" i="29" s="1"/>
  <c r="I12" i="29"/>
  <c r="F109" i="19" l="1"/>
  <c r="I17" i="29"/>
  <c r="D114" i="19" s="1"/>
  <c r="F114" i="19" s="1"/>
  <c r="I24" i="29"/>
  <c r="J20" i="29"/>
  <c r="J15" i="29"/>
  <c r="D26" i="29"/>
  <c r="F12" i="29"/>
  <c r="F17" i="29" s="1"/>
  <c r="E26" i="29"/>
  <c r="C26" i="29"/>
  <c r="J21" i="29"/>
  <c r="F24" i="29"/>
  <c r="I26" i="29" l="1"/>
  <c r="D115" i="19"/>
  <c r="J24" i="29"/>
  <c r="F26" i="29"/>
  <c r="J12" i="29"/>
  <c r="J17" i="29" s="1"/>
  <c r="F115" i="19" l="1"/>
  <c r="D117" i="19"/>
  <c r="J26" i="29"/>
  <c r="C26" i="2" l="1"/>
  <c r="H35" i="51"/>
  <c r="C14" i="51" l="1"/>
  <c r="D100" i="19" s="1"/>
  <c r="H50" i="51"/>
  <c r="E104" i="19" l="1"/>
  <c r="D104" i="19"/>
  <c r="F101" i="19"/>
  <c r="F102" i="19"/>
  <c r="C25" i="2" l="1"/>
  <c r="F106" i="34"/>
  <c r="F103" i="34" l="1"/>
  <c r="F104" i="34"/>
  <c r="F105" i="34"/>
  <c r="F62" i="34"/>
  <c r="C63" i="25"/>
  <c r="C17" i="51"/>
  <c r="C30" i="42" l="1"/>
  <c r="C32" i="42" s="1"/>
  <c r="C34" i="42" s="1"/>
  <c r="C36" i="36"/>
  <c r="C15" i="1"/>
  <c r="C30" i="1"/>
  <c r="C32" i="1"/>
  <c r="C31" i="1"/>
  <c r="E32" i="1" l="1"/>
  <c r="C33" i="1"/>
  <c r="D134" i="19"/>
  <c r="D133" i="19"/>
  <c r="B34" i="52"/>
  <c r="B33" i="52"/>
  <c r="B35" i="25" l="1"/>
  <c r="B34" i="25"/>
  <c r="B56" i="25" s="1"/>
  <c r="B71" i="25" s="1"/>
  <c r="B33" i="25"/>
  <c r="B55" i="25" s="1"/>
  <c r="B70" i="25" s="1"/>
  <c r="F100" i="19"/>
  <c r="F104" i="19" s="1"/>
  <c r="E25" i="2" l="1"/>
  <c r="F135" i="34" l="1"/>
  <c r="F93" i="34"/>
  <c r="F79" i="34"/>
  <c r="E25" i="7" l="1"/>
  <c r="E27" i="7"/>
  <c r="C64" i="25" l="1"/>
  <c r="D144" i="19"/>
  <c r="D141" i="19"/>
  <c r="D140" i="19"/>
  <c r="A35" i="35"/>
  <c r="A34" i="35"/>
  <c r="A35" i="50"/>
  <c r="A34" i="50"/>
  <c r="A24" i="50"/>
  <c r="A23" i="50"/>
  <c r="E129" i="19"/>
  <c r="F127" i="19"/>
  <c r="D126" i="19"/>
  <c r="F126" i="19" s="1"/>
  <c r="F125" i="19"/>
  <c r="D124" i="19"/>
  <c r="F124" i="19" s="1"/>
  <c r="D123" i="19"/>
  <c r="F123" i="19" s="1"/>
  <c r="D122" i="19"/>
  <c r="F122" i="19" s="1"/>
  <c r="D121" i="19"/>
  <c r="E136" i="19"/>
  <c r="F63" i="19"/>
  <c r="D129" i="19" l="1"/>
  <c r="C33" i="2" s="1"/>
  <c r="C11" i="52" l="1"/>
  <c r="D15" i="31" l="1"/>
  <c r="D25" i="31"/>
  <c r="D28" i="31" s="1"/>
  <c r="D19" i="31"/>
  <c r="D21" i="31" s="1"/>
  <c r="D27" i="31" s="1"/>
  <c r="E32" i="7"/>
  <c r="F32" i="7" s="1"/>
  <c r="D154" i="19"/>
  <c r="F154" i="19" s="1"/>
  <c r="D153" i="19"/>
  <c r="F153" i="19" s="1"/>
  <c r="D152" i="19"/>
  <c r="F152" i="19" s="1"/>
  <c r="D151" i="19"/>
  <c r="F151" i="19" s="1"/>
  <c r="D150" i="19"/>
  <c r="F134" i="19"/>
  <c r="D17" i="19"/>
  <c r="F17" i="19" s="1"/>
  <c r="D16" i="19"/>
  <c r="F16" i="19" s="1"/>
  <c r="D15" i="19"/>
  <c r="F15" i="19" s="1"/>
  <c r="D14" i="19"/>
  <c r="F14" i="19" s="1"/>
  <c r="B41" i="50"/>
  <c r="B42" i="50" s="1"/>
  <c r="B30" i="50"/>
  <c r="B31" i="50" s="1"/>
  <c r="B15" i="50"/>
  <c r="C36" i="2" s="1"/>
  <c r="B46" i="35"/>
  <c r="B47" i="35" s="1"/>
  <c r="C20" i="37"/>
  <c r="B14" i="35"/>
  <c r="F144" i="19" s="1"/>
  <c r="B12" i="32"/>
  <c r="B31" i="36"/>
  <c r="B12" i="36"/>
  <c r="B16" i="36" s="1"/>
  <c r="C38" i="42"/>
  <c r="D17" i="42"/>
  <c r="D16" i="42"/>
  <c r="D15" i="42"/>
  <c r="D14" i="42"/>
  <c r="D13" i="42"/>
  <c r="D12" i="42"/>
  <c r="D11" i="42"/>
  <c r="D10" i="42"/>
  <c r="D9" i="42"/>
  <c r="D160" i="19"/>
  <c r="F160" i="19" s="1"/>
  <c r="F162" i="19" s="1"/>
  <c r="F19" i="47"/>
  <c r="F16" i="47"/>
  <c r="F43" i="46"/>
  <c r="C11" i="39" s="1"/>
  <c r="F22" i="46"/>
  <c r="D26" i="46" s="1"/>
  <c r="F26" i="46" s="1"/>
  <c r="F16" i="46"/>
  <c r="D47" i="38"/>
  <c r="D46" i="38"/>
  <c r="F42" i="38"/>
  <c r="F44" i="38" s="1"/>
  <c r="C10" i="39" s="1"/>
  <c r="F20" i="38"/>
  <c r="D22" i="38" s="1"/>
  <c r="F22" i="38" s="1"/>
  <c r="F24" i="38" s="1"/>
  <c r="F14" i="38"/>
  <c r="F25" i="23"/>
  <c r="F21" i="23"/>
  <c r="F28" i="23" s="1"/>
  <c r="C24" i="39"/>
  <c r="C23" i="39"/>
  <c r="D44" i="19"/>
  <c r="C12" i="22"/>
  <c r="E10" i="41"/>
  <c r="G9" i="41"/>
  <c r="C10" i="40"/>
  <c r="D34" i="19" s="1"/>
  <c r="F34" i="19" s="1"/>
  <c r="F33" i="7"/>
  <c r="F31" i="7"/>
  <c r="F30" i="7"/>
  <c r="F29" i="7"/>
  <c r="E28" i="7"/>
  <c r="F28" i="7" s="1"/>
  <c r="F27" i="7"/>
  <c r="E26" i="7"/>
  <c r="F26" i="7" s="1"/>
  <c r="F25" i="7"/>
  <c r="E24" i="7"/>
  <c r="F24" i="7" s="1"/>
  <c r="E23" i="7"/>
  <c r="F23" i="7" s="1"/>
  <c r="E22" i="7"/>
  <c r="F22" i="7" s="1"/>
  <c r="F21" i="7"/>
  <c r="F20" i="7"/>
  <c r="F19" i="7"/>
  <c r="F18" i="7"/>
  <c r="F17" i="7"/>
  <c r="F16" i="7"/>
  <c r="F15" i="7"/>
  <c r="F14" i="7"/>
  <c r="F13" i="7"/>
  <c r="F12" i="7"/>
  <c r="F11" i="7"/>
  <c r="F10" i="7"/>
  <c r="C12" i="26"/>
  <c r="F25" i="19" s="1"/>
  <c r="E138" i="34"/>
  <c r="D138" i="34"/>
  <c r="F136" i="34"/>
  <c r="F134" i="34"/>
  <c r="G134" i="34" s="1"/>
  <c r="E130" i="34"/>
  <c r="D130" i="34"/>
  <c r="C24" i="1" s="1"/>
  <c r="F128" i="34"/>
  <c r="F126" i="34"/>
  <c r="F125" i="34"/>
  <c r="F124" i="34"/>
  <c r="F123" i="34"/>
  <c r="F120" i="34"/>
  <c r="F117" i="34"/>
  <c r="D113" i="34"/>
  <c r="F111" i="34"/>
  <c r="F110" i="34"/>
  <c r="F109" i="34"/>
  <c r="F108" i="34"/>
  <c r="F107" i="34"/>
  <c r="F102" i="34"/>
  <c r="F101" i="34"/>
  <c r="F99" i="34"/>
  <c r="F98" i="34"/>
  <c r="F100" i="34"/>
  <c r="F97" i="34"/>
  <c r="F96" i="34"/>
  <c r="F95" i="34"/>
  <c r="F94" i="34"/>
  <c r="F92" i="34"/>
  <c r="F86" i="34"/>
  <c r="F81" i="34"/>
  <c r="F80" i="34"/>
  <c r="F71" i="34"/>
  <c r="F70" i="34"/>
  <c r="F69" i="34"/>
  <c r="F68" i="34"/>
  <c r="F67" i="34"/>
  <c r="F66" i="34"/>
  <c r="F65" i="34"/>
  <c r="F63" i="34"/>
  <c r="F60" i="34"/>
  <c r="F59" i="34"/>
  <c r="F58" i="34"/>
  <c r="F57" i="34"/>
  <c r="F56" i="34"/>
  <c r="F55" i="34"/>
  <c r="C21" i="1"/>
  <c r="F49" i="34"/>
  <c r="F48" i="34"/>
  <c r="F47" i="34"/>
  <c r="F46" i="34"/>
  <c r="F45" i="34"/>
  <c r="F43" i="34"/>
  <c r="F42" i="34"/>
  <c r="F41" i="34"/>
  <c r="F40" i="34"/>
  <c r="F39" i="34"/>
  <c r="F36" i="34"/>
  <c r="F35" i="34"/>
  <c r="F34" i="34"/>
  <c r="F32" i="34"/>
  <c r="E28" i="34"/>
  <c r="D28" i="34"/>
  <c r="F26" i="34"/>
  <c r="F28" i="34" s="1"/>
  <c r="E22" i="34"/>
  <c r="E15" i="1" s="1"/>
  <c r="D22" i="34"/>
  <c r="F20" i="34"/>
  <c r="F22" i="34" s="1"/>
  <c r="E16" i="34"/>
  <c r="D16" i="34"/>
  <c r="C14" i="1" s="1"/>
  <c r="F14" i="34"/>
  <c r="F13" i="34"/>
  <c r="F12" i="34"/>
  <c r="H25" i="16"/>
  <c r="E24" i="16"/>
  <c r="E23" i="16"/>
  <c r="E22" i="16"/>
  <c r="F25" i="16"/>
  <c r="E21" i="16"/>
  <c r="F20" i="16"/>
  <c r="E20" i="16" s="1"/>
  <c r="E19" i="16"/>
  <c r="E18" i="16"/>
  <c r="B8" i="16"/>
  <c r="B6" i="16"/>
  <c r="E162" i="19"/>
  <c r="E156" i="19"/>
  <c r="E146" i="19"/>
  <c r="F143" i="19"/>
  <c r="F141" i="19"/>
  <c r="E117" i="19"/>
  <c r="E93" i="19"/>
  <c r="D93" i="19"/>
  <c r="F92" i="19"/>
  <c r="F91" i="19"/>
  <c r="E88" i="19"/>
  <c r="D88" i="19"/>
  <c r="F87" i="19"/>
  <c r="F86" i="19"/>
  <c r="E83" i="19"/>
  <c r="D83" i="19"/>
  <c r="F82" i="19"/>
  <c r="F81" i="19"/>
  <c r="E78" i="19"/>
  <c r="F77" i="19"/>
  <c r="D78" i="19"/>
  <c r="F75" i="19"/>
  <c r="E72" i="19"/>
  <c r="F71" i="19"/>
  <c r="F69" i="19"/>
  <c r="E66" i="19"/>
  <c r="F65" i="19"/>
  <c r="E60" i="19"/>
  <c r="F59" i="19"/>
  <c r="D58" i="19"/>
  <c r="D60" i="19" s="1"/>
  <c r="F57" i="19"/>
  <c r="E46" i="19"/>
  <c r="F32" i="19"/>
  <c r="E28" i="19"/>
  <c r="F26" i="19"/>
  <c r="E20" i="19"/>
  <c r="D13" i="19"/>
  <c r="A47" i="1"/>
  <c r="E31" i="1"/>
  <c r="C16" i="1"/>
  <c r="E45" i="2"/>
  <c r="F32" i="23" l="1"/>
  <c r="F30" i="23"/>
  <c r="F34" i="23"/>
  <c r="F21" i="47"/>
  <c r="F52" i="23"/>
  <c r="C9" i="39" s="1"/>
  <c r="G10" i="41"/>
  <c r="H10" i="41"/>
  <c r="F88" i="34"/>
  <c r="F51" i="34"/>
  <c r="F113" i="34"/>
  <c r="D24" i="46"/>
  <c r="F24" i="46" s="1"/>
  <c r="D38" i="2"/>
  <c r="D41" i="2" s="1"/>
  <c r="C44" i="2"/>
  <c r="E44" i="2" s="1"/>
  <c r="D43" i="19"/>
  <c r="F43" i="19" s="1"/>
  <c r="E35" i="7"/>
  <c r="D35" i="7"/>
  <c r="D18" i="42"/>
  <c r="D21" i="42" s="1"/>
  <c r="C27" i="42" s="1"/>
  <c r="C29" i="42" s="1"/>
  <c r="C31" i="42" s="1"/>
  <c r="C33" i="42" s="1"/>
  <c r="D24" i="38"/>
  <c r="D17" i="1"/>
  <c r="E24" i="1"/>
  <c r="E16" i="1"/>
  <c r="E14" i="1"/>
  <c r="D25" i="1"/>
  <c r="E21" i="1"/>
  <c r="F64" i="19"/>
  <c r="F66" i="19" s="1"/>
  <c r="C13" i="40"/>
  <c r="D37" i="19" s="1"/>
  <c r="F37" i="19" s="1"/>
  <c r="D21" i="2"/>
  <c r="F88" i="19"/>
  <c r="F133" i="19"/>
  <c r="F136" i="19" s="1"/>
  <c r="D136" i="19"/>
  <c r="F121" i="19"/>
  <c r="F129" i="19" s="1"/>
  <c r="F70" i="19"/>
  <c r="F72" i="19" s="1"/>
  <c r="F83" i="19"/>
  <c r="D96" i="19"/>
  <c r="F93" i="19"/>
  <c r="F76" i="19"/>
  <c r="F78" i="19" s="1"/>
  <c r="E96" i="19"/>
  <c r="F58" i="19"/>
  <c r="F60" i="19" s="1"/>
  <c r="C23" i="1"/>
  <c r="C22" i="1"/>
  <c r="F16" i="34"/>
  <c r="E30" i="1"/>
  <c r="E33" i="1" s="1"/>
  <c r="F138" i="34"/>
  <c r="F130" i="34"/>
  <c r="C17" i="1"/>
  <c r="F44" i="19"/>
  <c r="D18" i="19"/>
  <c r="F18" i="19" s="1"/>
  <c r="D29" i="31"/>
  <c r="F35" i="7"/>
  <c r="H35" i="7" s="1"/>
  <c r="C22" i="39"/>
  <c r="C34" i="37"/>
  <c r="F35" i="19"/>
  <c r="F13" i="19"/>
  <c r="D146" i="19"/>
  <c r="B17" i="35" s="1"/>
  <c r="D162" i="19"/>
  <c r="D156" i="19"/>
  <c r="F140" i="19"/>
  <c r="F146" i="19" s="1"/>
  <c r="F150" i="19"/>
  <c r="F156" i="19" s="1"/>
  <c r="D50" i="19" l="1"/>
  <c r="F50" i="19" s="1"/>
  <c r="F30" i="47"/>
  <c r="D25" i="47"/>
  <c r="F23" i="47"/>
  <c r="F25" i="47" s="1"/>
  <c r="D23" i="47"/>
  <c r="C19" i="2"/>
  <c r="C40" i="42"/>
  <c r="F117" i="19"/>
  <c r="E23" i="1"/>
  <c r="C24" i="2"/>
  <c r="E22" i="1"/>
  <c r="C9" i="40"/>
  <c r="D33" i="19" s="1"/>
  <c r="I9" i="41"/>
  <c r="I10" i="41" s="1"/>
  <c r="C12" i="40" s="1"/>
  <c r="D36" i="19" s="1"/>
  <c r="F36" i="19" s="1"/>
  <c r="D46" i="19"/>
  <c r="F46" i="19"/>
  <c r="F48" i="38"/>
  <c r="F24" i="19"/>
  <c r="D28" i="19"/>
  <c r="F28" i="19" s="1"/>
  <c r="E17" i="1"/>
  <c r="D27" i="1"/>
  <c r="D37" i="1" s="1"/>
  <c r="D38" i="1" s="1"/>
  <c r="D27" i="2"/>
  <c r="D29" i="2" s="1"/>
  <c r="C37" i="2"/>
  <c r="E36" i="2"/>
  <c r="C35" i="2"/>
  <c r="E34" i="2"/>
  <c r="F96" i="19"/>
  <c r="E33" i="2"/>
  <c r="C25" i="1"/>
  <c r="C27" i="1" s="1"/>
  <c r="C37" i="1" s="1"/>
  <c r="D20" i="19"/>
  <c r="C16" i="2" s="1"/>
  <c r="F20" i="19"/>
  <c r="D48" i="38" l="1"/>
  <c r="D49" i="38" s="1"/>
  <c r="D53" i="38" s="1"/>
  <c r="F31" i="47"/>
  <c r="F32" i="47" s="1"/>
  <c r="E25" i="1"/>
  <c r="E27" i="1" s="1"/>
  <c r="E37" i="1" s="1"/>
  <c r="C38" i="2"/>
  <c r="C41" i="2" s="1"/>
  <c r="E35" i="2"/>
  <c r="C17" i="2"/>
  <c r="E17" i="2" s="1"/>
  <c r="E19" i="2"/>
  <c r="E37" i="2"/>
  <c r="C27" i="2"/>
  <c r="E16" i="2"/>
  <c r="D48" i="2"/>
  <c r="D50" i="2" s="1"/>
  <c r="E24" i="2"/>
  <c r="C46" i="2"/>
  <c r="C48" i="2" s="1"/>
  <c r="F33" i="19"/>
  <c r="F39" i="19" s="1"/>
  <c r="C38" i="1"/>
  <c r="C14" i="40"/>
  <c r="D51" i="19" l="1"/>
  <c r="F51" i="19" s="1"/>
  <c r="F53" i="19" s="1"/>
  <c r="C25" i="39"/>
  <c r="C27" i="39" s="1"/>
  <c r="F33" i="47"/>
  <c r="F34" i="47" s="1"/>
  <c r="F35" i="47" s="1"/>
  <c r="F36" i="47" s="1"/>
  <c r="F37" i="47" s="1"/>
  <c r="F38" i="47" s="1"/>
  <c r="F39" i="47" s="1"/>
  <c r="F40" i="47" s="1"/>
  <c r="D51" i="2"/>
  <c r="E38" i="2"/>
  <c r="E41" i="2" s="1"/>
  <c r="E26" i="2"/>
  <c r="E27" i="2" s="1"/>
  <c r="E38" i="1"/>
  <c r="C50" i="2"/>
  <c r="E50" i="2" s="1"/>
  <c r="D39" i="19"/>
  <c r="E46" i="2"/>
  <c r="E48" i="2" s="1"/>
  <c r="D53" i="19" l="1"/>
  <c r="F43" i="47"/>
  <c r="C18" i="2"/>
  <c r="E20" i="2" l="1"/>
  <c r="C21" i="2"/>
  <c r="C29" i="2" s="1"/>
  <c r="E29" i="2" s="1"/>
  <c r="E18" i="2"/>
  <c r="E21" i="2" s="1"/>
  <c r="C51" i="2" l="1"/>
  <c r="E51" i="2"/>
</calcChain>
</file>

<file path=xl/sharedStrings.xml><?xml version="1.0" encoding="utf-8"?>
<sst xmlns="http://schemas.openxmlformats.org/spreadsheetml/2006/main" count="1356" uniqueCount="876">
  <si>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</si>
  <si>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</si>
  <si>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</si>
  <si>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</si>
  <si>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</si>
  <si>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</si>
  <si>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</si>
  <si>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</si>
  <si>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</si>
  <si>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</si>
  <si>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</si>
  <si>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</si>
  <si>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</si>
  <si>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</si>
  <si>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</si>
  <si>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</si>
  <si>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</si>
  <si>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</si>
  <si>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</si>
  <si>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</si>
  <si>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</si>
  <si>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</si>
  <si>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</si>
  <si>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</si>
  <si>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</si>
  <si>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</si>
  <si>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</si>
  <si>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</si>
  <si>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 a corto plazo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</si>
  <si>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</si>
  <si>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</si>
  <si>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</si>
  <si>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</si>
  <si>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</si>
  <si>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</si>
  <si>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</si>
  <si>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</si>
  <si>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</si>
  <si>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</si>
  <si>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</si>
  <si>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</si>
  <si>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</si>
  <si>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</si>
  <si>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</si>
  <si>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</si>
  <si>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</si>
  <si>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</si>
  <si>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</si>
  <si>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</si>
  <si>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</si>
  <si>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</si>
  <si>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</si>
  <si>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</si>
  <si>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</si>
  <si>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</si>
  <si>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 xml:space="preserve">Transferencias y donaciones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</si>
  <si>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</si>
  <si>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</si>
  <si>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</si>
  <si>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</si>
  <si>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</si>
  <si>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(Pérdida) por deterioro en activos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</si>
  <si>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</si>
  <si>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</si>
  <si>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</si>
  <si>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</si>
  <si>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</si>
  <si>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</si>
  <si>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</si>
  <si>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</si>
  <si>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BANCO DE RESERVAS (CTA. OPERATIVA)</t>
  </si>
  <si>
    <t>BANCO DE RESERVAS (CTA. NÓMINA)</t>
  </si>
  <si>
    <t>CTA AHORRO DÓLARES BCO DE RESERVAS A LA PAR</t>
  </si>
  <si>
    <t>CTA AHORRO DÓLARES BCO DE RESERVAS PRIMA</t>
  </si>
  <si>
    <t>-----------------------------------------------------------------------------------------------------------------------</t>
  </si>
  <si>
    <t>TOTAL EFECTIVO EN CAJA Y BANCO</t>
  </si>
  <si>
    <t xml:space="preserve">    </t>
  </si>
  <si>
    <t>INVERSIONES A CORTO PLAZO:</t>
  </si>
  <si>
    <t>CERTIFICADOS DE BANCO DE RESERVAS</t>
  </si>
  <si>
    <t>CERTIFICADOS BANCO DE RESERVAS DÓLARES A LA PAR</t>
  </si>
  <si>
    <t>CERTIFICADOS BANCO DE RESERVAS DÓLARES PRIMA</t>
  </si>
  <si>
    <t>TOTAL INVERSIONES A CORTO PLAZO</t>
  </si>
  <si>
    <t>CUENTAS POR COBRAR:</t>
  </si>
  <si>
    <t>INTERESES CUENTA AHORROS DÓLARES BANCO RESERVAS</t>
  </si>
  <si>
    <t>AVANCES CONTRATOS DE CONSTRUCCIÓN</t>
  </si>
  <si>
    <t>ANTICIPOS EN COMPRAS</t>
  </si>
  <si>
    <t>INTERESES CERTIFICADOS RD$ BANCO RESERVAS</t>
  </si>
  <si>
    <t>CUENTAS POR COBRAR EMPLEADOS</t>
  </si>
  <si>
    <t>CUENTAS POR COBRAR MANTENIMIENTO EDIFICIO</t>
  </si>
  <si>
    <t>TOTAL CUENTAS POR COBRAR</t>
  </si>
  <si>
    <t>INVENTARIO:</t>
  </si>
  <si>
    <t>EXISTENCIAS ALMACÉN 1</t>
  </si>
  <si>
    <t>EXISTENCIAS ALMACÉN 2</t>
  </si>
  <si>
    <t>TOTAL INVENTARIO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</si>
  <si>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</si>
  <si>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</si>
  <si>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</si>
  <si>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</si>
  <si>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</si>
  <si>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</si>
  <si>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</si>
  <si>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</si>
  <si>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</si>
  <si>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</si>
  <si>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</si>
  <si>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</si>
  <si>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</si>
  <si>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</si>
  <si>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</si>
  <si>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</si>
  <si>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</si>
  <si>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</si>
  <si>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</si>
  <si>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</si>
  <si>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</si>
  <si>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</si>
  <si>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</si>
  <si>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</si>
  <si>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</si>
  <si>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</si>
  <si>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</si>
  <si>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</si>
  <si>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</si>
  <si>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</si>
  <si>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</si>
  <si>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</si>
  <si>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</si>
  <si>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</si>
  <si>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</si>
  <si>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</si>
  <si>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</si>
  <si>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SERVICIOS GENERALES POR PAGAR</t>
  </si>
  <si>
    <t>CAJA CHICA POR PAGAR</t>
  </si>
  <si>
    <t>CUENTAS POR PAGAR EMPLEADOS</t>
  </si>
  <si>
    <t>CUENTAS POR PAGAR RETENCIONES</t>
  </si>
  <si>
    <t>CUENTAS POR PAGAR COMBUSTIBLES</t>
  </si>
  <si>
    <t>OTROS</t>
  </si>
  <si>
    <t xml:space="preserve">TOTAL CUENTAS POR PAGAR PROVEEDORES </t>
  </si>
  <si>
    <t>CUENTAS POR PAGAR CONTRATISTAS Y SERVICIOS Y HONORARIOS:</t>
  </si>
  <si>
    <t>CUENTAS POR PAGAR CONSTRUCCIONES DE INFRAESTRUCTURA</t>
  </si>
  <si>
    <t>CUENTAS POR PAGAR SERVICIOS Y HONORARIOS</t>
  </si>
  <si>
    <t>TOTAL CUENTAS POR PAGAR CONTRATISTAS Y SERVICIOS Y HONORARIOS</t>
  </si>
  <si>
    <t>GASTOS DE PERSONAL POR PAGAR:</t>
  </si>
  <si>
    <t>SALARIOS POR PAGAR</t>
  </si>
  <si>
    <t>GRATIFICACIONES Y BONIFICACIONES POR PAGAR</t>
  </si>
  <si>
    <t>CONTRIBUCION A LA SEG SOCIAL POR PAGAR</t>
  </si>
  <si>
    <t>VACACIONES POR PAGAR</t>
  </si>
  <si>
    <t>REGALÍA PASCUAL POR PAGAR</t>
  </si>
  <si>
    <t>TOTAL GASTOS DE PERSONAL POR PAGAR</t>
  </si>
  <si>
    <t>DEDUCCIONES Y RETENCIONES POR PAGAR:</t>
  </si>
  <si>
    <t>RETENCIONES IMPUESTOS S/RENTA A PROVEEDORES</t>
  </si>
  <si>
    <t>RETENCIONES IMPUESTOS S/RENTA A EMPLEADOS</t>
  </si>
  <si>
    <t>RETENCIÓN ITBIS</t>
  </si>
  <si>
    <t>RETENCIÓN CODIA</t>
  </si>
  <si>
    <t>RETENCIÓN FOPETCONS</t>
  </si>
  <si>
    <t>TOTAL DEDUCCIONES Y RETENCIONES POR PAGAR</t>
  </si>
  <si>
    <t>OTRAS CUENTAS POR PAGAR:</t>
  </si>
  <si>
    <t>TOTAL OTRAS CUENTAS POR PAGAR</t>
  </si>
  <si>
    <t>ANEXOS ESTADO DE RESULTADOS</t>
  </si>
  <si>
    <t>Acumulado Mes Actual</t>
  </si>
  <si>
    <t>Acumulado Mes Anterior</t>
  </si>
  <si>
    <t>INGRESOS POR PARTICIPACIÓN EN EMPRESAS REFORMADAS:</t>
  </si>
  <si>
    <t>INGRESO POR PARTICIPACIÓN EGEITABO</t>
  </si>
  <si>
    <t>INGRESO POR PARTICIPACIÓN MOLINOS DEL OZAMA</t>
  </si>
  <si>
    <t>INGRESO POR PARTICIPACIÓN EGEHAINA</t>
  </si>
  <si>
    <t>---------------------------------------------------------------------------------------------------------------------</t>
  </si>
  <si>
    <t>TOTAL INGRESOS POR PARTICIPACIÓN EN EMPRESAS REFORMADAS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</si>
  <si>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</si>
  <si>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</si>
  <si>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</si>
  <si>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</si>
  <si>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</si>
  <si>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</si>
  <si>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</si>
  <si>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</si>
  <si>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SUPLENCIAS</t>
  </si>
  <si>
    <t>COMPENSACIÓN POR GASTOS DE ALIMENTOS</t>
  </si>
  <si>
    <t>COMPENSACIÓN POR HORAS EXTRAS</t>
  </si>
  <si>
    <t>PRIMAS DE TRANSPORTE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</si>
  <si>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</si>
  <si>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</si>
  <si>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</si>
  <si>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</si>
  <si>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</si>
  <si>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</si>
  <si>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</si>
  <si>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</si>
  <si>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</si>
  <si>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PAGOS DE VACACIONES</t>
  </si>
  <si>
    <t>CONTRIBUCIÓN A EMPLEADOS POR GASTOS FÚNEBRES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</si>
  <si>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</si>
  <si>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</si>
  <si>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</si>
  <si>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</si>
  <si>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</si>
  <si>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</si>
  <si>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</si>
  <si>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</si>
  <si>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</si>
  <si>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</si>
  <si>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</si>
  <si>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</si>
  <si>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</si>
  <si>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</si>
  <si>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</si>
  <si>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</si>
  <si>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</si>
  <si>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</si>
  <si>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</si>
  <si>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</si>
  <si>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</si>
  <si>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</si>
  <si>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</si>
  <si>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</si>
  <si>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</si>
  <si>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</si>
  <si>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</si>
  <si>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</si>
  <si>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</si>
  <si>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</si>
  <si>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</si>
  <si>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</si>
  <si>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</si>
  <si>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SERVICIOS DE LAVANDERIA</t>
  </si>
  <si>
    <t>MEMBRESIA</t>
  </si>
  <si>
    <t>TOTAL SERVICIOS NO PERSONALES</t>
  </si>
  <si>
    <t>MATERIALES Y SUMINISTROS:</t>
  </si>
  <si>
    <t>ALIMENTOS Y BEBIDAS PARA PERSONAS</t>
  </si>
  <si>
    <t>ACABADOS TEXTILES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</si>
  <si>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</si>
  <si>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</si>
  <si>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</si>
  <si>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</si>
  <si>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</si>
  <si>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LLANTAS Y TUBOS</t>
  </si>
  <si>
    <t>ARTÍCULOS DE PLÁSTICO</t>
  </si>
  <si>
    <t>MATERIALES DE LIMPIEZA</t>
  </si>
  <si>
    <t>ÚTILES DE ESCRITORIOS, OFICINAS Y ENSEÑANZA</t>
  </si>
  <si>
    <t>ÚTILES MÉDICOS Y QUIRÚRGICOS</t>
  </si>
  <si>
    <t>ÚTILES DE COCINA Y COMEDOR</t>
  </si>
  <si>
    <t>PRODUCTOS ELÉCTRICOS Y AFINES</t>
  </si>
  <si>
    <t>MATERIALES DE INFORMATICA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</si>
  <si>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</si>
  <si>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</si>
  <si>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</si>
  <si>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</si>
  <si>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</si>
  <si>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</si>
  <si>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TRANSFERENCIAS Y DONACIONES:</t>
  </si>
  <si>
    <t>AYUDAS Y DONACIONES A PERSONAS</t>
  </si>
  <si>
    <t>BECAS Y VIJES DE ESTUDIO</t>
  </si>
  <si>
    <t>TRANSFERENCIA A INSTITUCIONES SIN FINES DE LUCRO</t>
  </si>
  <si>
    <t>CONTRATISTAS DE OBRAS</t>
  </si>
  <si>
    <t>VIÁTICOS Y DIETAS PARA SUPERVISAR OBRAS</t>
  </si>
  <si>
    <t>COMPRA DE EQUIPOS PARA PROYECTOS</t>
  </si>
  <si>
    <t>OTROS GASTOS DE PROYECTOS</t>
  </si>
  <si>
    <t>TRANSFERENCIA DE CAPITAL A INSTITUCIONES SIN FINES DE LUCRO</t>
  </si>
  <si>
    <t>TRANSFERENCIAS A OTRAS INSTITUCIONES PÚBLICAS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</si>
  <si>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</si>
  <si>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</si>
  <si>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</si>
  <si>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</si>
  <si>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(PÉRDIDA) POR DETERIORO EN ACTIVOS</t>
  </si>
  <si>
    <t>TOTAL OTROS INGRESOS (GASTOS) NO OPERACIONALES</t>
  </si>
  <si>
    <t>Nota</t>
  </si>
  <si>
    <t>PATRIMONIO INSTITUCIONAL</t>
  </si>
  <si>
    <t>Descripción</t>
  </si>
  <si>
    <t>% De</t>
  </si>
  <si>
    <t>Cantidad de</t>
  </si>
  <si>
    <t xml:space="preserve">Total </t>
  </si>
  <si>
    <t>EMPRESA</t>
  </si>
  <si>
    <t>Participación</t>
  </si>
  <si>
    <t>Acciones</t>
  </si>
  <si>
    <t xml:space="preserve">Aporte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</si>
  <si>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</si>
  <si>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</si>
  <si>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</si>
  <si>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</si>
  <si>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</si>
  <si>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</si>
  <si>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</si>
  <si>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</si>
  <si>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</si>
  <si>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</si>
  <si>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</si>
  <si>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</si>
  <si>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</si>
  <si>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</si>
  <si>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</si>
  <si>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</si>
  <si>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</si>
  <si>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</si>
  <si>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</si>
  <si>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</si>
  <si>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</si>
  <si>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</si>
  <si>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</si>
  <si>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BR - 9606264085</t>
  </si>
  <si>
    <t>BR - 9607211921</t>
  </si>
  <si>
    <t>BR - 9607363302</t>
  </si>
  <si>
    <t>Total</t>
  </si>
  <si>
    <t>NOTA 3</t>
  </si>
  <si>
    <t>Cuentas por Cobrar</t>
  </si>
  <si>
    <t>Avance contratos de construcción</t>
  </si>
  <si>
    <t>Anticipo en compras</t>
  </si>
  <si>
    <t>Intereses certificados RD$ Banreservas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</si>
  <si>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</si>
  <si>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</si>
  <si>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</si>
  <si>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</si>
  <si>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</si>
  <si>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ANTERIOR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</si>
  <si>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</si>
  <si>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</si>
  <si>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</si>
  <si>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</si>
  <si>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</si>
  <si>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r>
      <t xml:space="preserve">CONSTRUCCION LOTE #14 DE 15 VIVIENDAS ECONOMICAS, EN SAN JUAN DE LA MAGUANA </t>
    </r>
    <r>
      <rPr>
        <b/>
        <sz val="12"/>
        <color indexed="17"/>
        <rFont val="Museo Sans 100"/>
        <family val="3"/>
      </rPr>
      <t>240 VIVIENDAS</t>
    </r>
  </si>
  <si>
    <t>MANUEL ARCIDE DE LOS SANTOS BAUTISTA</t>
  </si>
  <si>
    <r>
      <t xml:space="preserve">CONSTRUCCION LOTE #10 DE 15 VIVIENDAS ECONOMICAS, EN SAN JUAN DE LA MAGUANA </t>
    </r>
    <r>
      <rPr>
        <b/>
        <sz val="12"/>
        <color indexed="17"/>
        <rFont val="Museo Sans 100"/>
        <family val="3"/>
      </rPr>
      <t>240 VIVIENDAS</t>
    </r>
  </si>
  <si>
    <t>JIMENEZ ALBA Y ASCIADOS SRL</t>
  </si>
  <si>
    <r>
      <t xml:space="preserve">CONSTRUCCION LOTE #12 DE 15 VIVIENDAS ECONOMICAS, EN SAN JUAN DE LA MAGUANA </t>
    </r>
    <r>
      <rPr>
        <b/>
        <sz val="12"/>
        <color indexed="17"/>
        <rFont val="Museo Sans 100"/>
        <family val="3"/>
      </rPr>
      <t>240 VIVIENDAS</t>
    </r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</si>
  <si>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</si>
  <si>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</si>
  <si>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</si>
  <si>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</si>
  <si>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PLANTA FISICA PINEDA</t>
  </si>
  <si>
    <t>CONSTRUCCION LOTE #9 DE 15 VIVIENDAS ECONOMICAS, EN SAN JUAN DE LA MAGUANA 150 VIVIENDAS</t>
  </si>
  <si>
    <t>GAMUNDY CRUZ MADERA</t>
  </si>
  <si>
    <t>CONSTRUCCION DE 5 VIVIENDAS ECONOMICAS EN DIFERENTES SECTORES DE SANTIAGO</t>
  </si>
  <si>
    <t>MANUEL ANTONIO MERCEDES ESCOTO</t>
  </si>
  <si>
    <t>CONSTRUCCION DE UN  DESTACAMENTO POLICIAL EN QUITA CORAZA, BARAHONA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</si>
  <si>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</si>
  <si>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</si>
  <si>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</si>
  <si>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</si>
  <si>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FABIOLA HAYDEE REYES MATOS</t>
  </si>
  <si>
    <t>CONSTRUCCION  DE PANADERIA REPOSTERIA LA CUMBRE, SANTIAGO.</t>
  </si>
  <si>
    <t>TATIANA PUELLO MEDINA</t>
  </si>
  <si>
    <t>CONSTRUCCION DE UN PLAY DE BASEBALL MAMBUICHE, GURABO, SANTIAGO.</t>
  </si>
  <si>
    <t>CAROLINE MANUELA LOPEZ REYES</t>
  </si>
  <si>
    <t>CONSTRUCCION DE (6) VIVIENDAS, TERMINACION DE (3) Y REPARACION DE (1) EN DIFERENTES SECTORES DE SANTIAGO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</si>
  <si>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</si>
  <si>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</si>
  <si>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</si>
  <si>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</si>
  <si>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CONSTR. DE PANADERIA REPOSTERIA Y SALON MULTIUSO LA BUENA ESPERANZA, EL PINO EN DAJABON.</t>
  </si>
  <si>
    <t>CONSTR. PANADERIA REPOSTERIA LAS MATAS DE FARFAN EN MUNICIPIO LAS MATAS DE FARFAN, SAN JUAN.</t>
  </si>
  <si>
    <t>CONSTRUCTORA SOSANMA S.R.L</t>
  </si>
  <si>
    <t>AVANCE EL 20% DEL PROYECTO CONST.(2)VIVIENDAS ECONOMICAS EN DIF. SECTORES D/ PROV.HERMANAS MIRABAL.</t>
  </si>
  <si>
    <t>CONSTRUCCIONES PALOMINO S.R.L</t>
  </si>
  <si>
    <t>AVANCE 20% PARA CONST.ESCALERA EMERGENCIA FONPER SEGUN CONTRATO 2023-38</t>
  </si>
  <si>
    <t>CONSTRUCTORA VIASAN &amp; ASOCIADOS, S.R.L.</t>
  </si>
  <si>
    <t>AVANCE 20% S/CONT.2023-041 P/TERMINACION CONSTRUCCION VIVIENDAS 4 STDO DGO Y 1 SAN CRISTOBAL.</t>
  </si>
  <si>
    <t>TERCOTECH S.R.L</t>
  </si>
  <si>
    <t>AVANCE 20% S/CONTRATO 2023-042 P/CONST.CENTRO TEXTIL PEDRO GARCIA STGO</t>
  </si>
  <si>
    <t>SANCHTE CONSTRUCTION AND BUILDING,S.R.L</t>
  </si>
  <si>
    <t>AVANCE 20% S/CONTRATO 2023-040 P/TERMINACION PABADERIA REPOST. SABANA LARGA ELIAS PIÑA</t>
  </si>
  <si>
    <t>GRUPO LUYAN S.R.L</t>
  </si>
  <si>
    <t>AVANCE 20% P/REALIZAR TRABAJOS PROY.CONST.DEL COMEDOR,ALMACEN,GARITA , BAÑO D/SEGURIDAD,EDIF.FONPER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</si>
  <si>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</si>
  <si>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</si>
  <si>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</si>
  <si>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</si>
  <si>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</si>
  <si>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</si>
  <si>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</si>
  <si>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</si>
  <si>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</si>
  <si>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</si>
  <si>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SKETCHPROM, SRL</t>
  </si>
  <si>
    <t>MOTYKA, S.R.L.</t>
  </si>
  <si>
    <t>HVOLQUEZ CONSULTING SERV, SRL</t>
  </si>
  <si>
    <t>BORBON TH, SRL</t>
  </si>
  <si>
    <t>CUENTA 1104-01-004</t>
  </si>
  <si>
    <t>Intereses de cuenta Ahorros US$ BR</t>
  </si>
  <si>
    <t>CUENTAS POR COBRAR A EMPLEADOS</t>
  </si>
  <si>
    <t>RELACIÓN DE DESCUENTO TELÉFONO</t>
  </si>
  <si>
    <t>No.</t>
  </si>
  <si>
    <t xml:space="preserve">NOMBRE </t>
  </si>
  <si>
    <t>CÉDULA</t>
  </si>
  <si>
    <t>CARGO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</si>
  <si>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</si>
  <si>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</si>
  <si>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</si>
  <si>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</si>
  <si>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</si>
  <si>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CARLOS RIVAS</t>
  </si>
  <si>
    <t>001-1231063-6</t>
  </si>
  <si>
    <t>ENCARGADO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</si>
  <si>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</si>
  <si>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</si>
  <si>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</si>
  <si>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</si>
  <si>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</si>
  <si>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</si>
  <si>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</si>
  <si>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</si>
  <si>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</si>
  <si>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</si>
  <si>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</si>
  <si>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</si>
  <si>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Grupo 0011- Otros productos</t>
  </si>
  <si>
    <t>Grupo 0042- productos diversos</t>
  </si>
  <si>
    <t>Donaciones (Equipos p/proyectos - 2) 0008</t>
  </si>
  <si>
    <t>Sub-total existencias Almacén 1</t>
  </si>
  <si>
    <t>Existencias Almacén 2</t>
  </si>
  <si>
    <t>Ebanistería</t>
  </si>
  <si>
    <t>Eléctricos</t>
  </si>
  <si>
    <t>Herramientas</t>
  </si>
  <si>
    <t>Material gastable - otros</t>
  </si>
  <si>
    <t>Plomería</t>
  </si>
  <si>
    <t>Pintura</t>
  </si>
  <si>
    <t>Papel de embalaje</t>
  </si>
  <si>
    <t>Mota superior</t>
  </si>
  <si>
    <t>Refrigeración</t>
  </si>
  <si>
    <t>Sub-total existencias Almacén 2</t>
  </si>
  <si>
    <t>NOTA 5</t>
  </si>
  <si>
    <t>Gastos pagados por anticipado</t>
  </si>
  <si>
    <t>Seguros de bienes</t>
  </si>
  <si>
    <t>Licencia Microsoft 365</t>
  </si>
  <si>
    <t>Licencia Mesa de Ayuda JIRA</t>
  </si>
  <si>
    <t>Licencia Anti Desastres</t>
  </si>
  <si>
    <t xml:space="preserve">Licencia de Software Adobe </t>
  </si>
  <si>
    <t>Seguros Reservas prepagado</t>
  </si>
  <si>
    <t>Licencias Microsoft</t>
  </si>
  <si>
    <t>Licencias Jira</t>
  </si>
  <si>
    <t>Licencias Adobbe</t>
  </si>
  <si>
    <t>Corrección periodos anteriores</t>
  </si>
  <si>
    <t>Nuevo balance</t>
  </si>
  <si>
    <t>Pólizas de Seguros de la Institución</t>
  </si>
  <si>
    <r>
      <t xml:space="preserve">SUPLIDOR DE SERVICIO: </t>
    </r>
    <r>
      <rPr>
        <b/>
        <sz val="12"/>
        <rFont val="Museo Sans 100"/>
        <family val="3"/>
      </rPr>
      <t>QUANTUM</t>
    </r>
  </si>
  <si>
    <r>
      <t xml:space="preserve">ASEGURADORA: </t>
    </r>
    <r>
      <rPr>
        <b/>
        <sz val="12"/>
        <rFont val="Museo Sans 100"/>
        <family val="3"/>
      </rPr>
      <t>SEGUROS BANRESERVAS</t>
    </r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</si>
  <si>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</si>
  <si>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</si>
  <si>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</si>
  <si>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</si>
  <si>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</si>
  <si>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</si>
  <si>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</si>
  <si>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</si>
  <si>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</si>
  <si>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</si>
  <si>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</si>
  <si>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</si>
  <si>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</si>
  <si>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</si>
  <si>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</si>
  <si>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</si>
  <si>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TOTAL PAGADO</t>
  </si>
  <si>
    <t>GASTO MENSUAL</t>
  </si>
  <si>
    <t>AMORTIZACIÓN NOVIEMBRE / 2024</t>
  </si>
  <si>
    <t>TOTAL AMORTIZADO</t>
  </si>
  <si>
    <t>BALANCE ACTUAL</t>
  </si>
  <si>
    <t>Licencia de Microsoft 365</t>
  </si>
  <si>
    <t>DESDE EL 16 MARZO 2024 HASTA EL 15 MARZO 2025</t>
  </si>
  <si>
    <r>
      <t xml:space="preserve">SUPLIDOR DE SERVICIO: </t>
    </r>
    <r>
      <rPr>
        <b/>
        <sz val="12"/>
        <rFont val="Museo Sans 100"/>
        <family val="3"/>
      </rPr>
      <t>NEVER OFF TECHNOLOGY</t>
    </r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</si>
  <si>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</si>
  <si>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</si>
  <si>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</si>
  <si>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</si>
  <si>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</si>
  <si>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</si>
  <si>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</si>
  <si>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r>
      <t xml:space="preserve">OC #6572, FACT NO. </t>
    </r>
    <r>
      <rPr>
        <b/>
        <sz val="12"/>
        <rFont val="Museo Sans 100"/>
        <family val="3"/>
      </rPr>
      <t>5603</t>
    </r>
  </si>
  <si>
    <t>MARZO  -   DICIEMBRE 2024</t>
  </si>
  <si>
    <t>10  MESES</t>
  </si>
  <si>
    <t>X  10  =</t>
  </si>
  <si>
    <t>ENERO   -   FEBRERO 2025</t>
  </si>
  <si>
    <t>2  MESES</t>
  </si>
  <si>
    <t>X  2  =</t>
  </si>
  <si>
    <t>AMORTIZACIÓN MAR/2024</t>
  </si>
  <si>
    <t>AMORTIZACIÓN ABR/2024</t>
  </si>
  <si>
    <t>AMORTIZACIÓN MAY/2024</t>
  </si>
  <si>
    <t>AMORTIZACIÓN JUN/2024</t>
  </si>
  <si>
    <t>AMORTIZACIÓN JUL/2024</t>
  </si>
  <si>
    <t>AMORTIZACIÓN AGO./2024</t>
  </si>
  <si>
    <t>AMORTIZACIÓN SEP./2024</t>
  </si>
  <si>
    <t>AMORTIZACIÓN OCT./2024</t>
  </si>
  <si>
    <t>AMORTIZACIÓN NOV./2024</t>
  </si>
  <si>
    <t>AMORTIZACIÓN DIC./2024</t>
  </si>
  <si>
    <t>AMORTIZACIÓN ENE./2025</t>
  </si>
  <si>
    <t>AMORTIZACIÓN FEB./2025</t>
  </si>
  <si>
    <t>AMORTIZACIÓN FEB./2024</t>
  </si>
  <si>
    <t>Lic. M.365</t>
  </si>
  <si>
    <t>Lic. Yira</t>
  </si>
  <si>
    <t>Lic. Adobe</t>
  </si>
  <si>
    <t>DESDE EL 1 AGOSTO 2024 HASTA EL 31 JULIO 2025</t>
  </si>
  <si>
    <r>
      <t xml:space="preserve">SUPLIDOR DE SERVICIO: </t>
    </r>
    <r>
      <rPr>
        <b/>
        <sz val="12"/>
        <rFont val="Museo Sans 100"/>
        <family val="3"/>
      </rPr>
      <t>HISPANIOLA TECHNOLOGY</t>
    </r>
  </si>
  <si>
    <t>MESA DE AYUDA JIRA</t>
  </si>
  <si>
    <t>LICENCIA MESA DE AYUDA JIRA</t>
  </si>
  <si>
    <t>HISPANIOLA TECHNOLOGY</t>
  </si>
  <si>
    <t>FACT NO.  375. CK 39824</t>
  </si>
  <si>
    <t>AGOSTO - DICIEMBRE 2024</t>
  </si>
  <si>
    <t>5  MESES</t>
  </si>
  <si>
    <t>X  5  =</t>
  </si>
  <si>
    <t>ENERO   -   JULIO 2025</t>
  </si>
  <si>
    <t>7  MESES</t>
  </si>
  <si>
    <t>X  7  =</t>
  </si>
  <si>
    <t>AMORTIZACIÓN SEPT/2024</t>
  </si>
  <si>
    <t>AMORTIZACIÓN OCT/2024</t>
  </si>
  <si>
    <t>AMORTIZACIÓN NOV/2024</t>
  </si>
  <si>
    <t>AMORTIZACIÓN DIC/2024</t>
  </si>
  <si>
    <t>AMORTIZACIÓN ENE/2025</t>
  </si>
  <si>
    <t>AMORTIZACIÓN MAR./2025</t>
  </si>
  <si>
    <t>AMORTIZACIÓN ABR./2025</t>
  </si>
  <si>
    <t>AMORTIZACIÓN MAY./2025</t>
  </si>
  <si>
    <t>AMORTIZACIÓN JUN./2025</t>
  </si>
  <si>
    <t>AMORTIZACIÓN JUL./2025</t>
  </si>
  <si>
    <t>LICENCIA ANTI DESASTRES</t>
  </si>
  <si>
    <t>SEPTIEMBRE - DICIEMBRE 2024</t>
  </si>
  <si>
    <t>ENERO   -   AGOSTO 2024</t>
  </si>
  <si>
    <t>X  8  =</t>
  </si>
  <si>
    <t>Licencias ADOBE</t>
  </si>
  <si>
    <t>DESDE EL 1 OCTUBRE 2023 HASTA EL 30 SEPTIEMBRE 2024</t>
  </si>
  <si>
    <r>
      <t xml:space="preserve">SUPLIDOR DE SERVICIO: </t>
    </r>
    <r>
      <rPr>
        <b/>
        <sz val="12"/>
        <rFont val="Museo Sans 100"/>
        <family val="3"/>
      </rPr>
      <t>INTERCOMPUTER, SRL</t>
    </r>
  </si>
  <si>
    <t>SOFTWARE ADOBE</t>
  </si>
  <si>
    <t>Licencias de Software</t>
  </si>
  <si>
    <t>SO 3709</t>
  </si>
  <si>
    <t>INTER COMPUTER AL, SRL</t>
  </si>
  <si>
    <t>OC 6475</t>
  </si>
  <si>
    <t>Oct 2023</t>
  </si>
  <si>
    <t>OCTUBRE - DICIEMBRE 2023</t>
  </si>
  <si>
    <t>3 MESES</t>
  </si>
  <si>
    <t>X  4  =</t>
  </si>
  <si>
    <t>ENERO   -  SEPTIEMBRE 2024</t>
  </si>
  <si>
    <t>9  MESES</t>
  </si>
  <si>
    <t>X  9  =</t>
  </si>
  <si>
    <t>AMORTIZACIÓN OCT/2023</t>
  </si>
  <si>
    <t>AMORTIZACIÓN NOV/2023</t>
  </si>
  <si>
    <t>AMORTIZACIÓN DIC/2023</t>
  </si>
  <si>
    <t>AMORTIZACIÓN ENE/2024</t>
  </si>
  <si>
    <t>AMORTIZACIÓN FEB/2024</t>
  </si>
  <si>
    <t>AMORTIZACIÓN MAR./2024</t>
  </si>
  <si>
    <t>AMORTIZACIÓN ABR./2024</t>
  </si>
  <si>
    <t>AMORTIZACIÓN MAY./2024</t>
  </si>
  <si>
    <t>AMORTIZACIÓN JUN./2024</t>
  </si>
  <si>
    <t>AMORTIZACIÓN JUL./2024</t>
  </si>
  <si>
    <t>Balance</t>
  </si>
  <si>
    <t>Nota 6</t>
  </si>
  <si>
    <t>Dividendos por Participación en las Empresas Reformadas</t>
  </si>
  <si>
    <t>Detalles</t>
  </si>
  <si>
    <t>EGE Haina</t>
  </si>
  <si>
    <t>EGE Itabo</t>
  </si>
  <si>
    <t>Molinos de Ozama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</si>
  <si>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</si>
  <si>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</si>
  <si>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</si>
  <si>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</si>
  <si>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</si>
  <si>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</si>
  <si>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</si>
  <si>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</si>
  <si>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</si>
  <si>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NC 2642</t>
  </si>
  <si>
    <t>TOTAL EDEESTE</t>
  </si>
  <si>
    <t>GRAND TOTAL</t>
  </si>
  <si>
    <t>FONDO PATRIMONIAL DE LAS EMP. REFORMADAS</t>
  </si>
  <si>
    <t>SUCURSAL   01</t>
  </si>
  <si>
    <t>FECHA DESDE.</t>
  </si>
  <si>
    <t>FECHA HASTA.</t>
  </si>
  <si>
    <t>BALANCE INICIAL</t>
  </si>
  <si>
    <t>PROVEEDOR     003071     LA TABACALERA, S. A.</t>
  </si>
  <si>
    <t>TIPO MOVI</t>
  </si>
  <si>
    <t>CHEQUE</t>
  </si>
  <si>
    <t>SALDO</t>
  </si>
  <si>
    <t>DEBITO</t>
  </si>
  <si>
    <t>Débito</t>
  </si>
  <si>
    <t>Totales</t>
  </si>
  <si>
    <t>PROVEEDOR    003130   EDEESTE</t>
  </si>
  <si>
    <t>Transf.</t>
  </si>
  <si>
    <t>NOTA 8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</si>
  <si>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</si>
  <si>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</si>
  <si>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</si>
  <si>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</si>
  <si>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</si>
  <si>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</si>
  <si>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</si>
  <si>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</si>
  <si>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</si>
  <si>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Ajustes</t>
  </si>
  <si>
    <t>Retiros</t>
  </si>
  <si>
    <t>Reclasificaciones</t>
  </si>
  <si>
    <t>Total costo de adquisición</t>
  </si>
  <si>
    <t>Depreciación acumulada</t>
  </si>
  <si>
    <t>Cargos del periodo</t>
  </si>
  <si>
    <t>Ajustes y reclasificación</t>
  </si>
  <si>
    <t>Total depreciación acumulada</t>
  </si>
  <si>
    <t>NOTA 9</t>
  </si>
  <si>
    <t xml:space="preserve">Cuentas por pagar </t>
  </si>
  <si>
    <t>CECOMSA SRL</t>
  </si>
  <si>
    <t>RAMIREZ &amp; MOJICA ENVOY SRL</t>
  </si>
  <si>
    <t>WENDYS MUEBLES SRL</t>
  </si>
  <si>
    <t xml:space="preserve">SERVICIOS GENERALES POR PAGAR </t>
  </si>
  <si>
    <t>AYUNTAMIENTO DEL DISTRITO NACIONAL</t>
  </si>
  <si>
    <t>COLECTOR DE IMPUESTOS (Retenciones Proveedores ago 24)</t>
  </si>
  <si>
    <t>COLECTOR DE ITBIS (Retenciones Proveedores ago 24)</t>
  </si>
  <si>
    <t>NOTA 10</t>
  </si>
  <si>
    <t>Cuentas por pagar Contratistas y Servicios y Honorarios</t>
  </si>
  <si>
    <t>CUENTAS POR PAGAR CONSTRUCCIONES DE INFRAESTRUCTURAS</t>
  </si>
  <si>
    <t>TOTAL CUENTAS POR PAGAR CONTRATISTAS</t>
  </si>
  <si>
    <t>GRUPO LUNYAN, SRL</t>
  </si>
  <si>
    <t>JMSM DISEÑOS Y CONSTRUCCIONES, SRL</t>
  </si>
  <si>
    <t>LOURDES YNMACULADA DE OLEO VALENZUELA</t>
  </si>
  <si>
    <t>CESAR ANDRES PICHARDO FERMIN</t>
  </si>
  <si>
    <t>NOTA 11</t>
  </si>
  <si>
    <t>Salarios por pagar</t>
  </si>
  <si>
    <t>Gratificaciones y bonificaciones por pagar</t>
  </si>
  <si>
    <t>Contribución la Seguridad Social por pagar</t>
  </si>
  <si>
    <t>Vacaciones por pagar</t>
  </si>
  <si>
    <t>Regalía pascual por pagar</t>
  </si>
  <si>
    <t>Detalle de Salarios por pagar</t>
  </si>
  <si>
    <t>Compensación almuerzo militares seguridad 2da quincena sept 2024</t>
  </si>
  <si>
    <t>Gastos de representación presidente Fonper abril 2024</t>
  </si>
  <si>
    <t>Cálculo de la Provisión de Gratificaciones y Bonificaciones</t>
  </si>
  <si>
    <t>Año 2024</t>
  </si>
  <si>
    <t>#</t>
  </si>
  <si>
    <t>Conceptos</t>
  </si>
  <si>
    <t>Nómina mensual</t>
  </si>
  <si>
    <t>Total provisión RD$</t>
  </si>
  <si>
    <t>Bono Aniversario (Fijos, Consejo, Militares) (1.0)</t>
  </si>
  <si>
    <t>Bono navidad militares (2.5)</t>
  </si>
  <si>
    <t>Bono a las secretarias</t>
  </si>
  <si>
    <t>Bono a las Madres</t>
  </si>
  <si>
    <t>Bonos a los Padres</t>
  </si>
  <si>
    <t>Bono Escolar</t>
  </si>
  <si>
    <t>Bono desempeño Fijos (1.0)</t>
  </si>
  <si>
    <t>Bono Navidad Fijos  (2.5)</t>
  </si>
  <si>
    <t>Bono Navidad Consejo  (2.0)</t>
  </si>
  <si>
    <t>Total bonificación anual proyectada</t>
  </si>
  <si>
    <t>Entre 12 meses</t>
  </si>
  <si>
    <t xml:space="preserve">   /  12  =</t>
  </si>
  <si>
    <t>Cada mes, en el 2024 será de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</si>
  <si>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</si>
  <si>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</si>
  <si>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</si>
  <si>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</si>
  <si>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</si>
  <si>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</si>
  <si>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</si>
  <si>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</si>
  <si>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</si>
  <si>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</si>
  <si>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</si>
  <si>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</si>
  <si>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</si>
  <si>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</si>
  <si>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 xml:space="preserve">CONTROL DE VACACIONES </t>
  </si>
  <si>
    <t>COLABORADORES AÑO 2024</t>
  </si>
  <si>
    <t>NOMBRE/APELLIDO</t>
  </si>
  <si>
    <t xml:space="preserve">DÍAS 
PENDIENTES </t>
  </si>
  <si>
    <t>SALARIO</t>
  </si>
  <si>
    <t>SALARIO PROMEDIO</t>
  </si>
  <si>
    <t>Dias 2024</t>
  </si>
  <si>
    <t xml:space="preserve">Total a Disfrutar </t>
  </si>
  <si>
    <t xml:space="preserve">Enero </t>
  </si>
  <si>
    <t>Dias pendiente a disfrutar 2024</t>
  </si>
  <si>
    <t xml:space="preserve">Monto </t>
  </si>
  <si>
    <t>AIDA VICTORIA PARDILLA MARTINEZ</t>
  </si>
  <si>
    <t>ENCARGADA</t>
  </si>
  <si>
    <t>ALCE  ODELL CACERES LEREBOURS</t>
  </si>
  <si>
    <t>ADMINISTRADOR DE SERVICIOS TIC</t>
  </si>
  <si>
    <t>ANA ILDA NUÑEZ BATISTA</t>
  </si>
  <si>
    <t>ANALISTA DE GESTIÓN PATRIMONIAL II</t>
  </si>
  <si>
    <t>ANASTASIA ROSAURA   A AVILA UBRI</t>
  </si>
  <si>
    <t>ANALISTA</t>
  </si>
  <si>
    <t>CARLOS JOSE RIVAS GARCIA</t>
  </si>
  <si>
    <t xml:space="preserve">COORDINADOR </t>
  </si>
  <si>
    <t>CARLOS JULIO SUBERVI CARRASCO</t>
  </si>
  <si>
    <t>CARMEN JULIA PEREZ FERNANDEZ</t>
  </si>
  <si>
    <t>CONSERJE</t>
  </si>
  <si>
    <t>CAROL JULISSA DIAZ MELO</t>
  </si>
  <si>
    <t>COORDINADOR (A) ADMINISTRATIVO</t>
  </si>
  <si>
    <t>CELIA M CUEVAS JIMENEZ</t>
  </si>
  <si>
    <t>CLAUDIO ALBERTO MARTE MERCEDES</t>
  </si>
  <si>
    <t>CRISTIAN INOA GARCIA</t>
  </si>
  <si>
    <t>CHOFER</t>
  </si>
  <si>
    <t>DANIA RODRIGUEZ RODRIGUEZ</t>
  </si>
  <si>
    <t>DIANA J ROSARIO POLANCO</t>
  </si>
  <si>
    <t>DESIREE MARIN GARCIA</t>
  </si>
  <si>
    <t>COORDINADORA</t>
  </si>
  <si>
    <t>DIONICIO EMILIO GUERRERO PEREZ</t>
  </si>
  <si>
    <t xml:space="preserve">ANALISTA </t>
  </si>
  <si>
    <t>DOMINGO ALBERTO RODRIGUEZ</t>
  </si>
  <si>
    <t>EDDY M DOMINGUEZ LINARES</t>
  </si>
  <si>
    <t>COORDINADOR</t>
  </si>
  <si>
    <t>EDGAR  MOISES DUME PEPEN</t>
  </si>
  <si>
    <t>ENC. SECCIÓN DE CORRESP. Y ARCH</t>
  </si>
  <si>
    <t>EDILI D RAMIREZ RODRIGUEZ</t>
  </si>
  <si>
    <t>AUXILIAR ADMINISTRATIVO</t>
  </si>
  <si>
    <t>EDWARD ALEXANDER AQUINO ALMONTE</t>
  </si>
  <si>
    <t>SOPORTE TECNICO</t>
  </si>
  <si>
    <t>EDWIN JOHANNY JIMENEZ</t>
  </si>
  <si>
    <t>ELIN ALBERTO PENA GERMAN</t>
  </si>
  <si>
    <t>ADMINISTRADOR DE OPERACIONES TIC</t>
  </si>
  <si>
    <t>ESKIBEL JAVIER SANCHEZ VIDAL</t>
  </si>
  <si>
    <t>EVANGELISTA EUGENIA PEREZ DE LOS SANTOS</t>
  </si>
  <si>
    <t>FRANCIS GISELLE BUSSI INOA</t>
  </si>
  <si>
    <t>COORDINADOR (A) DE ARQUITECTURA</t>
  </si>
  <si>
    <t>FRANCISCA SANCHEZ DE LOS SANTOS</t>
  </si>
  <si>
    <t>FRANSER DESIREE SOLIS DE LUNA</t>
  </si>
  <si>
    <t>FREDDY JOSE PEREYRA  ALBERTO</t>
  </si>
  <si>
    <t>FREDDY RADHAMES RODRIGUEZ DIAZ</t>
  </si>
  <si>
    <t>FREILYN PEREZ</t>
  </si>
  <si>
    <t>TÉCNICO ADMINISTRATIVO</t>
  </si>
  <si>
    <t>GERMAINE D GAZON ROSARIO</t>
  </si>
  <si>
    <t>ILEANA SOLANYI MEDINA PERALTA</t>
  </si>
  <si>
    <t>MENSAJERA INTERNA</t>
  </si>
  <si>
    <t>ISMAEL VALENTIN PENA SANTOS</t>
  </si>
  <si>
    <t>MENSAJERO EXTERNO</t>
  </si>
  <si>
    <t>JESUS O SANCHEZ TRINIDAD</t>
  </si>
  <si>
    <t>ANALISTA INFORMÁTICO</t>
  </si>
  <si>
    <t>JORGE LUIS  MATEO CASTILLO</t>
  </si>
  <si>
    <t>JOSE A  ALMONTE MARTE</t>
  </si>
  <si>
    <t>JOSE E FLORENTINO RODRIGUEZ</t>
  </si>
  <si>
    <t>PRESIDENTE</t>
  </si>
  <si>
    <t>JOSE MANUEL VALDEZ</t>
  </si>
  <si>
    <t>SUPERVISOR DE TRANSPORTACIÓN</t>
  </si>
  <si>
    <t>JOSEFINA MERCEDES VEGA BATLLE</t>
  </si>
  <si>
    <t>VICE-PRESIDENTE</t>
  </si>
  <si>
    <t>JUAN SANTANA H</t>
  </si>
  <si>
    <t>LADY  MARGARET ESPINAL ROMERO</t>
  </si>
  <si>
    <t>RELACIONISTA PUBLICO</t>
  </si>
  <si>
    <t>LELIA MARCELL MENDOZA LORA</t>
  </si>
  <si>
    <t>LEON ALTAGRACIA GOMEZ DIAZ</t>
  </si>
  <si>
    <t>ASESOR</t>
  </si>
  <si>
    <t>LEWIS A MEDRANO MORLA</t>
  </si>
  <si>
    <t>TÉCNICO SERVICIOS GENERALES</t>
  </si>
  <si>
    <t>LICET IVANA BELTRE VALERA</t>
  </si>
  <si>
    <t>ASESOR LEGAL</t>
  </si>
  <si>
    <t>LISBET RODRIGUEZ GUZMAN</t>
  </si>
  <si>
    <t>LUIS ALFREDO FUCHU ARTILES</t>
  </si>
  <si>
    <t>LUIS ANTONIO MOQUETE PELLETIER</t>
  </si>
  <si>
    <t>MARLENY A MEDRANO RODRIGUEZ</t>
  </si>
  <si>
    <t>DIRECTORA</t>
  </si>
  <si>
    <t>MARTHA ARELYS BEATO ABREU</t>
  </si>
  <si>
    <t>MAXIMO A PERALTA MOREL</t>
  </si>
  <si>
    <t>MAYRUBI LAZARO VALENZUELA</t>
  </si>
  <si>
    <t>MARINO ACOSTA GUANTE</t>
  </si>
  <si>
    <t>MERCEDES IVELICES GUZMAN VALERIO</t>
  </si>
  <si>
    <t>MIGUEL ALFONSO DE LA ROSA  ARIAS</t>
  </si>
  <si>
    <t>NADIA ROSA MARIA BAEZ LOPEZ</t>
  </si>
  <si>
    <t>ABOGADO I</t>
  </si>
  <si>
    <t>NATHALI ROCIO RIVERA ORTIZ</t>
  </si>
  <si>
    <t>RECEPCIONISTA</t>
  </si>
  <si>
    <t>NICOLLE HARVEY PICHARDO</t>
  </si>
  <si>
    <t>NIKAURY ARACENA MEJIA</t>
  </si>
  <si>
    <t>NIVIA CLARIBEL QUEZADA  FELIZ DE PEÑA</t>
  </si>
  <si>
    <t>NYSA MARIA FERREIRA BALBI</t>
  </si>
  <si>
    <t>TECNICO DE RECURSOS HUMANOS</t>
  </si>
  <si>
    <t>OLIVER SORIANO OVIEDO</t>
  </si>
  <si>
    <t>INGENIERO DE ESTRUCTURA</t>
  </si>
  <si>
    <t>OMAR DE JESUS COHEN SANDER</t>
  </si>
  <si>
    <t>OSVALDO PEREZ PIMENTEL</t>
  </si>
  <si>
    <t>COORDINADOR (A) DE GESTION PATR</t>
  </si>
  <si>
    <t>PEDRO DANIEL ESQUEA MONTILLA</t>
  </si>
  <si>
    <t>RAFAEL EDUARDO RAMIREZ ISIDOR</t>
  </si>
  <si>
    <t>RAPHIEL RADNEY ABREU</t>
  </si>
  <si>
    <t>AUXILIAR</t>
  </si>
  <si>
    <t>RICHARD RAMON MEJIA MENDOZA</t>
  </si>
  <si>
    <t>AUXILIAR DE SUMINISTRO</t>
  </si>
  <si>
    <t>ROQUE ORLANDO MORETA RODRIGUEZ</t>
  </si>
  <si>
    <t>ROSA  ANTONIA PEREZ HEREDIA</t>
  </si>
  <si>
    <t>ROSSY LISVERY VOLQUEZ PEREZ</t>
  </si>
  <si>
    <t>RUBEN DARIO ALMONTE MATEO</t>
  </si>
  <si>
    <t>RUDDY LANI GARCIA  ALCANTARA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</si>
  <si>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</si>
  <si>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</si>
  <si>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</si>
  <si>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</si>
  <si>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</si>
  <si>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SILVIO J PEREZ VALDEZ</t>
  </si>
  <si>
    <t>COORDINADOR (A) DE INGENIERIA</t>
  </si>
  <si>
    <t>SOMNE ALTAGRACIA BAEZ TRINIDAD</t>
  </si>
  <si>
    <t>TOMAS AUGUSTO MENDOZA TORRES</t>
  </si>
  <si>
    <t>ABOGADO III</t>
  </si>
  <si>
    <t>VERONICA POLANCO REYNOSO</t>
  </si>
  <si>
    <t>VICTOR M HILARIO LORA</t>
  </si>
  <si>
    <t>WINSTON POLANCO ROBLES</t>
  </si>
  <si>
    <t>YANCARLOS HERNANDEZ ENCARNACION</t>
  </si>
  <si>
    <t>YANIL STEFANY MEJIA PIMENTEL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</si>
  <si>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</si>
  <si>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</si>
  <si>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</si>
  <si>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</si>
  <si>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</si>
  <si>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</si>
  <si>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</si>
  <si>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Provesion mensual</t>
  </si>
  <si>
    <t>Considerado en el sistema sept 24</t>
  </si>
  <si>
    <t>Ajuste necesario sept 24</t>
  </si>
  <si>
    <t>NOTA 12</t>
  </si>
  <si>
    <t>Deducciones y Retenciones por pagar</t>
  </si>
  <si>
    <t>Retención impuesto sobre la renta proveedores</t>
  </si>
  <si>
    <t>Retención impuesto sobre la renta empleados</t>
  </si>
  <si>
    <t>Retención ITBIS</t>
  </si>
  <si>
    <t>Retención CODIA</t>
  </si>
  <si>
    <t>Retención FOPETCONS</t>
  </si>
  <si>
    <t>Retención ISR a empleados</t>
  </si>
  <si>
    <t>MES DE JULIO - PENDIENTE</t>
  </si>
  <si>
    <t>Nota 13</t>
  </si>
  <si>
    <t>Otras Cuentas por pagar</t>
  </si>
  <si>
    <t>MEM-DERS - Diciembre 2024</t>
  </si>
  <si>
    <r>
      <t xml:space="preserve">INFOTEP - </t>
    </r>
    <r>
      <rPr>
        <i/>
        <sz val="11"/>
        <rFont val="Museo Sans 100"/>
        <family val="3"/>
      </rPr>
      <t>AVANCE 20% SIMULADORES D.</t>
    </r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</si>
  <si>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</si>
  <si>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</si>
  <si>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</si>
  <si>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</si>
  <si>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</si>
  <si>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</si>
  <si>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</si>
  <si>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</si>
  <si>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</si>
  <si>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</si>
  <si>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</si>
  <si>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</si>
  <si>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</si>
  <si>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</si>
  <si>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>MES DE SEPTIEMBRE</t>
  </si>
  <si>
    <t>Mobiliarios y Equipos, Neto</t>
  </si>
  <si>
    <t>Total Mobiliarios y Equipos, Neto</t>
  </si>
  <si>
    <t>Pago Dieta del Consejo Administrativo correspondiente a oct 2024</t>
  </si>
  <si>
    <t>Ajuste necesario</t>
  </si>
  <si>
    <t>TRANSFERENCIA A CORRIENSTES A LA SEGURIDAD SOCIAL</t>
  </si>
  <si>
    <t>TRANSFERENCIA A CORRIENSTES AL SECTOR PRIVADO</t>
  </si>
  <si>
    <t>Octubre 2024</t>
  </si>
  <si>
    <t>SKETCHROM, SRL</t>
  </si>
  <si>
    <t>ICU SOLUCIONES EMPRESARIALES, SRL</t>
  </si>
  <si>
    <t>PHIFCET, SRL</t>
  </si>
  <si>
    <t>SOLDIER ELECTRONIC SECURIY SES, SRL</t>
  </si>
  <si>
    <t>NOVIEMBRE Y DICIEMBRE 2024</t>
  </si>
  <si>
    <t>ENERO - MARZO 2025</t>
  </si>
  <si>
    <t>ABRIL - OCTUBRE 2025</t>
  </si>
  <si>
    <t>PAGO Ck no. 39929, d/f 22-11-2024</t>
  </si>
  <si>
    <t>AMORTIZACIÓN NOV. / 2024</t>
  </si>
  <si>
    <t>AMORTIZACIÓN DIC. / 2024</t>
  </si>
  <si>
    <t>AMORTIZACIÓN ENERO / 2025</t>
  </si>
  <si>
    <t>AMORTIZACIÓN FEBRERO / 2025</t>
  </si>
  <si>
    <t>AMORTIZACIÓN MARZO / 202</t>
  </si>
  <si>
    <t>AMORTIZACIÓN ABRIL / 2025</t>
  </si>
  <si>
    <t>AMORTIZACIÓN MAYO / 2025</t>
  </si>
  <si>
    <t>AMORTIZACIÓN JUNIO / 2025</t>
  </si>
  <si>
    <t>AMORTIZACIÓN JULIO / 2025</t>
  </si>
  <si>
    <t>AMORTIZACIÓN AGOSTO / 2025</t>
  </si>
  <si>
    <t>AMORTIZACIÓN SEPTIEMBRE / 2025</t>
  </si>
  <si>
    <t>AMORTIZACIÓN OCTUBRE / 2025</t>
  </si>
  <si>
    <t>DESDE EL 31 OCT 2024 HASTA EL 31 OCT 2025</t>
  </si>
  <si>
    <t>AL 30 DE NOVIEMBRE DEL 2024</t>
  </si>
  <si>
    <t xml:space="preserve"> / 12 =</t>
  </si>
  <si>
    <t>Balance a nov 24</t>
  </si>
  <si>
    <t>Considerado  Nómina</t>
  </si>
  <si>
    <t>Sept</t>
  </si>
  <si>
    <t>Nov</t>
  </si>
  <si>
    <t>Grupo 003- Activos</t>
  </si>
  <si>
    <t>BOTDOM INGENIERÍA, S.R.L.</t>
  </si>
  <si>
    <t>BORBÓN TH, S.R.L.</t>
  </si>
  <si>
    <t>BOTDOM INGENIERIA, SRL</t>
  </si>
  <si>
    <t>DISTRIBUIDORES INT. DE PETROLEO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</si>
  <si>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</si>
  <si>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FOPETCONS</t>
  </si>
  <si>
    <t>Noviembre 2024</t>
  </si>
  <si>
    <t>COMBUSTIBLES POR PAGAR</t>
  </si>
  <si>
    <t>OLIVER SORIANO</t>
  </si>
  <si>
    <t>NIVIA QUEZADA</t>
  </si>
  <si>
    <t>EDGAR DUME</t>
  </si>
  <si>
    <t>JOSE MANUEL VALDES</t>
  </si>
  <si>
    <t>ESKIBEL SANCHEZ</t>
  </si>
  <si>
    <t>ACUERDOS INSTITUCIONALES POR PAGAR</t>
  </si>
  <si>
    <t>INFOTEP</t>
  </si>
  <si>
    <t>ACUERDOS INTITUCIONALES POR PAGAR</t>
  </si>
  <si>
    <t>TRANSFERENCIA A CORRIENSTES A EMPRESAS PRIVADAS</t>
  </si>
  <si>
    <t>CODIA</t>
  </si>
  <si>
    <t>Compensación horas extras oct 2024</t>
  </si>
  <si>
    <t>Compensación almuerzo a militares oct 2024</t>
  </si>
  <si>
    <t>Compensación almuerzo a empleados fijos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</si>
</sst>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-* #,##0.00_R_D_$_-;\-* #,##0.00_R_D_$_-;_-* &quot;-&quot;??_R_D_$_-;_-@_-"/>
    <numFmt numFmtId="167" formatCode="mmmm\ \-\ yyyy"/>
    <numFmt numFmtId="168" formatCode="_-* #,##0.00\ _P_t_s_-;\-* #,##0.00\ _P_t_s_-;_-* &quot;-&quot;??\ _P_t_s_-;_-@_-"/>
    <numFmt numFmtId="169" formatCode="_(* #,##0_);_(* \(#,##0\);_(* &quot;-&quot;??_);_(@_)"/>
    <numFmt numFmtId="170" formatCode="0.000000000"/>
    <numFmt numFmtId="171" formatCode="0.0000000000"/>
    <numFmt numFmtId="172" formatCode="0000\-00\-00"/>
    <numFmt numFmtId="173" formatCode="[$-409]d\-mmm\-yy;@"/>
    <numFmt numFmtId="174" formatCode="[$-409]dd\-mmm\-yy;@"/>
    <numFmt numFmtId="175" formatCode="_(* #,##0.000000_);_(* \(#,##0.000000\);_(* &quot;-&quot;??_);_(@_)"/>
  </numFmts>
  <fonts count="10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Museo Sans 100"/>
      <family val="3"/>
    </font>
    <font>
      <sz val="12"/>
      <color rgb="FFFF0000"/>
      <name val="Museo Sans 100"/>
      <family val="3"/>
    </font>
    <font>
      <b/>
      <sz val="14"/>
      <name val="Museo Sans 100"/>
      <family val="3"/>
    </font>
    <font>
      <sz val="14"/>
      <name val="Museo Sans 100"/>
      <family val="3"/>
    </font>
    <font>
      <sz val="14"/>
      <color rgb="FFFF0000"/>
      <name val="Museo Sans 100"/>
      <family val="3"/>
    </font>
    <font>
      <b/>
      <sz val="14"/>
      <color theme="4" tint="-0.249977111117893"/>
      <name val="Museo Sans 100"/>
      <family val="3"/>
    </font>
    <font>
      <b/>
      <sz val="12"/>
      <name val="Museo Sans 100"/>
      <family val="3"/>
    </font>
    <font>
      <sz val="11"/>
      <color theme="1"/>
      <name val="Museo Sans 100"/>
      <family val="3"/>
    </font>
    <font>
      <sz val="10"/>
      <name val="Museo Sans 100"/>
      <family val="3"/>
    </font>
    <font>
      <sz val="12"/>
      <color theme="1"/>
      <name val="Museo Sans 100"/>
      <family val="3"/>
    </font>
    <font>
      <sz val="12"/>
      <color theme="2" tint="-0.499984740745262"/>
      <name val="Museo Sans 100"/>
      <family val="3"/>
    </font>
    <font>
      <b/>
      <sz val="12"/>
      <color theme="1"/>
      <name val="Museo Sans 100"/>
      <family val="3"/>
    </font>
    <font>
      <b/>
      <i/>
      <sz val="12"/>
      <name val="Museo Sans 100"/>
      <family val="3"/>
    </font>
    <font>
      <u val="singleAccounting"/>
      <sz val="12"/>
      <name val="Museo Sans 100"/>
      <family val="3"/>
    </font>
    <font>
      <b/>
      <u val="doubleAccounting"/>
      <sz val="12"/>
      <name val="Museo Sans 100"/>
      <family val="3"/>
    </font>
    <font>
      <u val="singleAccounting"/>
      <sz val="12"/>
      <color theme="1"/>
      <name val="Museo Sans 100"/>
      <family val="3"/>
    </font>
    <font>
      <b/>
      <u val="doubleAccounting"/>
      <sz val="12"/>
      <color theme="1"/>
      <name val="Museo Sans 100"/>
      <family val="3"/>
    </font>
    <font>
      <b/>
      <sz val="12"/>
      <color indexed="17"/>
      <name val="Museo Sans 100"/>
      <family val="3"/>
    </font>
    <font>
      <i/>
      <sz val="12"/>
      <name val="Museo Sans 100"/>
      <family val="3"/>
    </font>
    <font>
      <sz val="11"/>
      <name val="Museo Sans 100"/>
      <family val="3"/>
    </font>
    <font>
      <sz val="9"/>
      <name val="Museo Sans 100"/>
      <family val="3"/>
    </font>
    <font>
      <b/>
      <sz val="12"/>
      <color rgb="FFFF0000"/>
      <name val="Museo Sans 100"/>
      <family val="3"/>
    </font>
    <font>
      <u/>
      <sz val="12"/>
      <color theme="1"/>
      <name val="Museo Sans 100"/>
      <family val="3"/>
    </font>
    <font>
      <b/>
      <u val="double"/>
      <sz val="12"/>
      <name val="Museo Sans 100"/>
      <family val="3"/>
    </font>
    <font>
      <u val="doubleAccounting"/>
      <sz val="12"/>
      <color theme="1"/>
      <name val="Museo Sans 100"/>
      <family val="3"/>
    </font>
    <font>
      <b/>
      <sz val="14"/>
      <color rgb="FFFF0000"/>
      <name val="Museo Sans 100"/>
      <family val="3"/>
    </font>
    <font>
      <u val="singleAccounting"/>
      <sz val="12"/>
      <color rgb="FFFF0000"/>
      <name val="Museo Sans 100"/>
      <family val="3"/>
    </font>
    <font>
      <i/>
      <sz val="11"/>
      <name val="Museo Sans 100"/>
      <family val="3"/>
    </font>
    <font>
      <b/>
      <sz val="8"/>
      <name val="Museo Sans 100"/>
      <family val="3"/>
    </font>
    <font>
      <b/>
      <u/>
      <sz val="12"/>
      <name val="Museo Sans 100"/>
      <family val="3"/>
    </font>
    <font>
      <b/>
      <sz val="11"/>
      <name val="Museo Sans 100"/>
      <family val="3"/>
    </font>
    <font>
      <b/>
      <i/>
      <sz val="12"/>
      <color rgb="FFFF0000"/>
      <name val="Museo Sans 100"/>
      <family val="3"/>
    </font>
    <font>
      <u/>
      <sz val="12"/>
      <color rgb="FFFF0000"/>
      <name val="Museo Sans 100"/>
      <family val="3"/>
    </font>
    <font>
      <b/>
      <u/>
      <sz val="12"/>
      <color theme="1"/>
      <name val="Museo Sans 100"/>
      <family val="3"/>
    </font>
    <font>
      <u/>
      <sz val="10"/>
      <color theme="10"/>
      <name val="Arial"/>
      <family val="2"/>
    </font>
    <font>
      <sz val="11"/>
      <name val="Aptos"/>
      <family val="2"/>
    </font>
    <font>
      <u/>
      <sz val="12"/>
      <name val="Museo Sans 100"/>
      <family val="3"/>
    </font>
    <font>
      <b/>
      <u val="singleAccounting"/>
      <sz val="12"/>
      <color theme="1"/>
      <name val="Museo Sans 100"/>
      <family val="3"/>
    </font>
    <font>
      <sz val="8"/>
      <name val="Museo Sans 100"/>
      <family val="3"/>
    </font>
    <font>
      <sz val="13"/>
      <name val="Museo Sans 100"/>
      <family val="3"/>
    </font>
    <font>
      <u val="singleAccounting"/>
      <sz val="13"/>
      <name val="Museo Sans 100"/>
      <family val="3"/>
    </font>
    <font>
      <b/>
      <sz val="13"/>
      <name val="Museo Sans 100"/>
      <family val="3"/>
    </font>
    <font>
      <b/>
      <u val="singleAccounting"/>
      <sz val="13"/>
      <name val="Museo Sans 100"/>
      <family val="3"/>
    </font>
    <font>
      <b/>
      <u val="doubleAccounting"/>
      <sz val="13"/>
      <name val="Museo Sans 100"/>
      <family val="3"/>
    </font>
    <font>
      <b/>
      <sz val="11"/>
      <color rgb="FFFF0000"/>
      <name val="Museo Sans 100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theme="1"/>
      <name val="Museo Sans 100"/>
      <family val="3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u/>
      <sz val="11"/>
      <name val="Museo Sans 100"/>
      <family val="3"/>
    </font>
    <font>
      <i/>
      <u/>
      <sz val="8"/>
      <color rgb="FFFF0000"/>
      <name val="Museo Sans 100"/>
      <family val="3"/>
    </font>
    <font>
      <u/>
      <sz val="11"/>
      <name val="Museo Sans 100"/>
      <family val="3"/>
    </font>
    <font>
      <b/>
      <u val="double"/>
      <sz val="11"/>
      <name val="Museo Sans 100"/>
      <family val="3"/>
    </font>
    <font>
      <b/>
      <sz val="10"/>
      <name val="Museo Sans 100"/>
      <family val="3"/>
    </font>
    <font>
      <sz val="11"/>
      <name val="Arial"/>
      <family val="2"/>
    </font>
    <font>
      <sz val="13"/>
      <name val="Calibri"/>
      <family val="2"/>
      <scheme val="minor"/>
    </font>
    <font>
      <sz val="13"/>
      <name val="Arial"/>
      <family val="2"/>
    </font>
    <font>
      <u/>
      <sz val="13"/>
      <name val="Arial"/>
      <family val="2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06">
    <xf numFmtId="0" fontId="0" fillId="0" borderId="0"/>
    <xf numFmtId="165" fontId="3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4" fillId="0" borderId="0" applyFont="0" applyFill="0" applyBorder="0" applyAlignment="0" applyProtection="0"/>
    <xf numFmtId="166" fontId="38" fillId="0" borderId="0" applyFont="0" applyFill="0" applyBorder="0" applyAlignment="0" applyProtection="0"/>
    <xf numFmtId="17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6" fillId="3" borderId="31" applyNumberFormat="0" applyFont="0" applyAlignment="0" applyProtection="0"/>
    <xf numFmtId="0" fontId="38" fillId="3" borderId="31" applyNumberFormat="0" applyFont="0" applyAlignment="0" applyProtection="0"/>
    <xf numFmtId="9" fontId="3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33" fillId="0" borderId="0"/>
    <xf numFmtId="165" fontId="33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0" fontId="29" fillId="0" borderId="0"/>
    <xf numFmtId="9" fontId="43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28" fillId="0" borderId="0"/>
    <xf numFmtId="0" fontId="28" fillId="3" borderId="31" applyNumberFormat="0" applyFont="0" applyAlignment="0" applyProtection="0"/>
    <xf numFmtId="9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9" fontId="34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25" fillId="0" borderId="0"/>
    <xf numFmtId="0" fontId="24" fillId="0" borderId="0"/>
    <xf numFmtId="0" fontId="23" fillId="0" borderId="0"/>
    <xf numFmtId="0" fontId="79" fillId="0" borderId="0" applyNumberFormat="0" applyFill="0" applyBorder="0" applyAlignment="0" applyProtection="0"/>
    <xf numFmtId="0" fontId="22" fillId="0" borderId="0"/>
    <xf numFmtId="0" fontId="21" fillId="0" borderId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165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5" fillId="0" borderId="0"/>
  </cellStyleXfs>
  <cellXfs count="574">
    <xf numFmtId="0" fontId="0" fillId="0" borderId="0" xfId="0"/>
    <xf numFmtId="0" fontId="45" fillId="0" borderId="0" xfId="0" applyFont="1"/>
    <xf numFmtId="165" fontId="45" fillId="0" borderId="0" xfId="4" applyFont="1"/>
    <xf numFmtId="0" fontId="46" fillId="0" borderId="0" xfId="0" applyFont="1"/>
    <xf numFmtId="0" fontId="47" fillId="0" borderId="0" xfId="0" applyFont="1" applyAlignment="1">
      <alignment horizontal="center"/>
    </xf>
    <xf numFmtId="165" fontId="48" fillId="0" borderId="0" xfId="4" applyFont="1" applyFill="1"/>
    <xf numFmtId="0" fontId="49" fillId="0" borderId="0" xfId="0" applyFont="1"/>
    <xf numFmtId="0" fontId="48" fillId="0" borderId="0" xfId="0" applyFont="1"/>
    <xf numFmtId="14" fontId="48" fillId="0" borderId="0" xfId="0" applyNumberFormat="1" applyFont="1"/>
    <xf numFmtId="167" fontId="48" fillId="0" borderId="0" xfId="0" applyNumberFormat="1" applyFont="1" applyAlignment="1" applyProtection="1">
      <alignment horizontal="center"/>
      <protection locked="0"/>
    </xf>
    <xf numFmtId="167" fontId="48" fillId="0" borderId="0" xfId="0" applyNumberFormat="1" applyFont="1" applyAlignment="1">
      <alignment horizontal="center"/>
    </xf>
    <xf numFmtId="165" fontId="48" fillId="0" borderId="0" xfId="4" applyFont="1"/>
    <xf numFmtId="0" fontId="48" fillId="0" borderId="0" xfId="0" applyFont="1" applyAlignment="1">
      <alignment vertical="center"/>
    </xf>
    <xf numFmtId="165" fontId="47" fillId="0" borderId="13" xfId="4" applyFont="1" applyBorder="1" applyAlignment="1">
      <alignment horizontal="center" vertical="center" wrapText="1"/>
    </xf>
    <xf numFmtId="165" fontId="48" fillId="0" borderId="0" xfId="4" applyFont="1" applyAlignment="1">
      <alignment vertical="center"/>
    </xf>
    <xf numFmtId="0" fontId="49" fillId="0" borderId="0" xfId="0" applyFont="1" applyAlignment="1">
      <alignment vertical="center"/>
    </xf>
    <xf numFmtId="0" fontId="51" fillId="0" borderId="0" xfId="0" applyFont="1"/>
    <xf numFmtId="165" fontId="45" fillId="0" borderId="0" xfId="4" applyFont="1" applyAlignment="1"/>
    <xf numFmtId="165" fontId="46" fillId="0" borderId="0" xfId="4" applyFont="1" applyAlignment="1"/>
    <xf numFmtId="0" fontId="45" fillId="0" borderId="0" xfId="0" applyFont="1" applyAlignment="1">
      <alignment horizontal="center"/>
    </xf>
    <xf numFmtId="165" fontId="45" fillId="0" borderId="0" xfId="0" applyNumberFormat="1" applyFont="1"/>
    <xf numFmtId="165" fontId="46" fillId="0" borderId="0" xfId="0" applyNumberFormat="1" applyFont="1"/>
    <xf numFmtId="165" fontId="51" fillId="0" borderId="0" xfId="4" applyFont="1" applyAlignment="1"/>
    <xf numFmtId="165" fontId="51" fillId="0" borderId="7" xfId="4" applyFont="1" applyBorder="1" applyAlignment="1"/>
    <xf numFmtId="0" fontId="45" fillId="0" borderId="0" xfId="0" applyFont="1" applyProtection="1">
      <protection locked="0"/>
    </xf>
    <xf numFmtId="165" fontId="45" fillId="0" borderId="0" xfId="4" applyFont="1" applyAlignment="1">
      <alignment horizontal="center"/>
    </xf>
    <xf numFmtId="171" fontId="45" fillId="0" borderId="0" xfId="0" applyNumberFormat="1" applyFont="1"/>
    <xf numFmtId="169" fontId="45" fillId="0" borderId="0" xfId="4" applyNumberFormat="1" applyFont="1"/>
    <xf numFmtId="165" fontId="46" fillId="0" borderId="0" xfId="4" applyFont="1"/>
    <xf numFmtId="170" fontId="45" fillId="0" borderId="0" xfId="0" applyNumberFormat="1" applyFont="1"/>
    <xf numFmtId="4" fontId="45" fillId="0" borderId="0" xfId="0" applyNumberFormat="1" applyFont="1"/>
    <xf numFmtId="0" fontId="45" fillId="0" borderId="0" xfId="0" applyFont="1" applyAlignment="1">
      <alignment vertical="top"/>
    </xf>
    <xf numFmtId="165" fontId="45" fillId="0" borderId="0" xfId="4" applyFont="1" applyAlignment="1">
      <alignment vertical="top"/>
    </xf>
    <xf numFmtId="0" fontId="50" fillId="0" borderId="0" xfId="0" applyFont="1"/>
    <xf numFmtId="49" fontId="47" fillId="0" borderId="0" xfId="0" applyNumberFormat="1" applyFont="1" applyProtection="1">
      <protection locked="0"/>
    </xf>
    <xf numFmtId="167" fontId="48" fillId="0" borderId="0" xfId="0" applyNumberFormat="1" applyFont="1" applyProtection="1">
      <protection locked="0"/>
    </xf>
    <xf numFmtId="165" fontId="48" fillId="0" borderId="0" xfId="0" applyNumberFormat="1" applyFont="1"/>
    <xf numFmtId="165" fontId="48" fillId="0" borderId="0" xfId="4" applyFont="1" applyAlignment="1"/>
    <xf numFmtId="165" fontId="51" fillId="0" borderId="13" xfId="4" applyFont="1" applyBorder="1" applyAlignment="1">
      <alignment horizontal="center" vertical="center" wrapText="1"/>
    </xf>
    <xf numFmtId="165" fontId="45" fillId="0" borderId="0" xfId="4" applyFont="1" applyFill="1" applyAlignment="1"/>
    <xf numFmtId="165" fontId="45" fillId="0" borderId="0" xfId="4" applyFont="1" applyFill="1" applyBorder="1" applyAlignment="1"/>
    <xf numFmtId="0" fontId="51" fillId="0" borderId="0" xfId="0" applyFont="1" applyAlignment="1">
      <alignment horizontal="left"/>
    </xf>
    <xf numFmtId="165" fontId="55" fillId="0" borderId="0" xfId="4" applyFont="1" applyAlignment="1"/>
    <xf numFmtId="165" fontId="55" fillId="0" borderId="0" xfId="4" applyFont="1" applyAlignment="1">
      <alignment vertical="top"/>
    </xf>
    <xf numFmtId="0" fontId="45" fillId="0" borderId="0" xfId="0" applyFont="1" applyAlignment="1" applyProtection="1">
      <alignment vertical="top"/>
      <protection locked="0"/>
    </xf>
    <xf numFmtId="165" fontId="45" fillId="0" borderId="0" xfId="4" applyFont="1" applyAlignment="1">
      <alignment horizontal="center" vertical="top"/>
    </xf>
    <xf numFmtId="0" fontId="54" fillId="0" borderId="0" xfId="18" applyFont="1"/>
    <xf numFmtId="0" fontId="54" fillId="0" borderId="0" xfId="18" applyFont="1" applyAlignment="1">
      <alignment horizontal="center"/>
    </xf>
    <xf numFmtId="165" fontId="54" fillId="0" borderId="0" xfId="4" applyFont="1" applyFill="1"/>
    <xf numFmtId="0" fontId="47" fillId="0" borderId="0" xfId="0" applyFont="1"/>
    <xf numFmtId="0" fontId="51" fillId="0" borderId="0" xfId="0" applyFont="1" applyAlignment="1">
      <alignment horizontal="center"/>
    </xf>
    <xf numFmtId="165" fontId="51" fillId="0" borderId="0" xfId="4" applyFont="1" applyFill="1"/>
    <xf numFmtId="165" fontId="45" fillId="0" borderId="0" xfId="4" applyFont="1" applyFill="1"/>
    <xf numFmtId="165" fontId="51" fillId="0" borderId="0" xfId="4" applyFont="1"/>
    <xf numFmtId="165" fontId="54" fillId="0" borderId="0" xfId="6" applyFont="1"/>
    <xf numFmtId="165" fontId="45" fillId="0" borderId="0" xfId="4" applyFont="1" applyFill="1" applyAlignment="1">
      <alignment horizontal="center"/>
    </xf>
    <xf numFmtId="165" fontId="54" fillId="0" borderId="0" xfId="4" applyFont="1"/>
    <xf numFmtId="165" fontId="51" fillId="0" borderId="0" xfId="4" applyFont="1" applyFill="1" applyBorder="1"/>
    <xf numFmtId="165" fontId="45" fillId="0" borderId="0" xfId="4" applyFont="1" applyBorder="1"/>
    <xf numFmtId="0" fontId="51" fillId="0" borderId="0" xfId="0" applyFont="1" applyAlignment="1">
      <alignment wrapText="1"/>
    </xf>
    <xf numFmtId="0" fontId="51" fillId="0" borderId="0" xfId="0" applyFont="1" applyAlignment="1">
      <alignment horizontal="center" wrapText="1"/>
    </xf>
    <xf numFmtId="169" fontId="45" fillId="0" borderId="0" xfId="4" applyNumberFormat="1" applyFont="1" applyBorder="1"/>
    <xf numFmtId="0" fontId="45" fillId="0" borderId="4" xfId="0" applyFont="1" applyBorder="1"/>
    <xf numFmtId="0" fontId="45" fillId="0" borderId="1" xfId="0" applyFont="1" applyBorder="1"/>
    <xf numFmtId="0" fontId="51" fillId="0" borderId="1" xfId="0" applyFont="1" applyBorder="1"/>
    <xf numFmtId="43" fontId="54" fillId="0" borderId="0" xfId="7" applyFont="1"/>
    <xf numFmtId="165" fontId="56" fillId="0" borderId="0" xfId="4" applyFont="1"/>
    <xf numFmtId="165" fontId="45" fillId="0" borderId="0" xfId="6" applyFont="1"/>
    <xf numFmtId="0" fontId="54" fillId="0" borderId="0" xfId="0" applyFont="1"/>
    <xf numFmtId="165" fontId="51" fillId="0" borderId="0" xfId="4" applyFont="1" applyFill="1" applyAlignment="1"/>
    <xf numFmtId="173" fontId="51" fillId="0" borderId="0" xfId="0" applyNumberFormat="1" applyFont="1" applyAlignment="1">
      <alignment horizontal="center"/>
    </xf>
    <xf numFmtId="14" fontId="51" fillId="0" borderId="0" xfId="0" applyNumberFormat="1" applyFont="1" applyAlignment="1">
      <alignment horizontal="center"/>
    </xf>
    <xf numFmtId="165" fontId="51" fillId="0" borderId="0" xfId="4" applyFont="1" applyFill="1" applyAlignment="1">
      <alignment horizontal="center"/>
    </xf>
    <xf numFmtId="0" fontId="51" fillId="4" borderId="5" xfId="0" applyFont="1" applyFill="1" applyBorder="1" applyAlignment="1">
      <alignment horizontal="center"/>
    </xf>
    <xf numFmtId="0" fontId="51" fillId="4" borderId="12" xfId="0" applyFont="1" applyFill="1" applyBorder="1" applyAlignment="1">
      <alignment horizontal="center"/>
    </xf>
    <xf numFmtId="0" fontId="51" fillId="4" borderId="6" xfId="0" applyFont="1" applyFill="1" applyBorder="1" applyAlignment="1">
      <alignment horizontal="center"/>
    </xf>
    <xf numFmtId="0" fontId="45" fillId="0" borderId="10" xfId="0" applyFont="1" applyBorder="1"/>
    <xf numFmtId="165" fontId="45" fillId="0" borderId="8" xfId="4" applyFont="1" applyBorder="1"/>
    <xf numFmtId="0" fontId="45" fillId="0" borderId="11" xfId="0" applyFont="1" applyBorder="1"/>
    <xf numFmtId="0" fontId="45" fillId="0" borderId="13" xfId="0" applyFont="1" applyBorder="1"/>
    <xf numFmtId="165" fontId="45" fillId="0" borderId="9" xfId="4" applyFont="1" applyBorder="1"/>
    <xf numFmtId="165" fontId="45" fillId="0" borderId="13" xfId="4" applyFont="1" applyBorder="1"/>
    <xf numFmtId="165" fontId="58" fillId="0" borderId="9" xfId="4" applyFont="1" applyBorder="1"/>
    <xf numFmtId="0" fontId="51" fillId="0" borderId="11" xfId="0" applyFont="1" applyBorder="1"/>
    <xf numFmtId="0" fontId="51" fillId="0" borderId="13" xfId="0" applyFont="1" applyBorder="1"/>
    <xf numFmtId="165" fontId="59" fillId="0" borderId="9" xfId="4" applyFont="1" applyBorder="1"/>
    <xf numFmtId="0" fontId="45" fillId="0" borderId="14" xfId="0" applyFont="1" applyBorder="1"/>
    <xf numFmtId="0" fontId="45" fillId="0" borderId="15" xfId="0" applyFont="1" applyBorder="1"/>
    <xf numFmtId="0" fontId="45" fillId="0" borderId="16" xfId="0" applyFont="1" applyBorder="1"/>
    <xf numFmtId="165" fontId="52" fillId="0" borderId="0" xfId="4" applyFont="1"/>
    <xf numFmtId="165" fontId="45" fillId="0" borderId="0" xfId="4" applyFont="1" applyFill="1" applyBorder="1"/>
    <xf numFmtId="0" fontId="54" fillId="0" borderId="11" xfId="0" applyFont="1" applyBorder="1"/>
    <xf numFmtId="165" fontId="45" fillId="0" borderId="2" xfId="4" applyFont="1" applyBorder="1"/>
    <xf numFmtId="165" fontId="59" fillId="0" borderId="2" xfId="4" applyFont="1" applyBorder="1"/>
    <xf numFmtId="165" fontId="51" fillId="0" borderId="2" xfId="4" applyFont="1" applyBorder="1"/>
    <xf numFmtId="165" fontId="59" fillId="0" borderId="0" xfId="4" applyFont="1" applyBorder="1"/>
    <xf numFmtId="0" fontId="51" fillId="0" borderId="14" xfId="0" applyFont="1" applyBorder="1"/>
    <xf numFmtId="165" fontId="51" fillId="0" borderId="17" xfId="4" applyFont="1" applyBorder="1"/>
    <xf numFmtId="165" fontId="51" fillId="0" borderId="0" xfId="4" applyFont="1" applyBorder="1"/>
    <xf numFmtId="165" fontId="46" fillId="0" borderId="0" xfId="4" applyFont="1" applyAlignment="1">
      <alignment horizontal="center"/>
    </xf>
    <xf numFmtId="0" fontId="52" fillId="0" borderId="0" xfId="18" applyFont="1"/>
    <xf numFmtId="165" fontId="58" fillId="0" borderId="0" xfId="4" applyFont="1"/>
    <xf numFmtId="173" fontId="51" fillId="0" borderId="0" xfId="0" applyNumberFormat="1" applyFont="1"/>
    <xf numFmtId="165" fontId="54" fillId="0" borderId="10" xfId="6" applyFont="1" applyBorder="1"/>
    <xf numFmtId="165" fontId="54" fillId="0" borderId="8" xfId="6" applyFont="1" applyBorder="1"/>
    <xf numFmtId="165" fontId="54" fillId="0" borderId="11" xfId="6" applyFont="1" applyBorder="1"/>
    <xf numFmtId="165" fontId="54" fillId="0" borderId="9" xfId="6" applyFont="1" applyBorder="1"/>
    <xf numFmtId="165" fontId="60" fillId="0" borderId="9" xfId="6" applyFont="1" applyBorder="1"/>
    <xf numFmtId="165" fontId="56" fillId="0" borderId="11" xfId="6" applyFont="1" applyBorder="1"/>
    <xf numFmtId="165" fontId="61" fillId="0" borderId="9" xfId="6" applyFont="1" applyBorder="1"/>
    <xf numFmtId="165" fontId="54" fillId="0" borderId="14" xfId="6" applyFont="1" applyBorder="1"/>
    <xf numFmtId="165" fontId="54" fillId="0" borderId="16" xfId="6" applyFont="1" applyBorder="1"/>
    <xf numFmtId="0" fontId="51" fillId="4" borderId="19" xfId="0" applyFont="1" applyFill="1" applyBorder="1" applyAlignment="1">
      <alignment horizontal="center"/>
    </xf>
    <xf numFmtId="0" fontId="51" fillId="4" borderId="18" xfId="0" applyFont="1" applyFill="1" applyBorder="1" applyAlignment="1">
      <alignment horizontal="center"/>
    </xf>
    <xf numFmtId="0" fontId="51" fillId="4" borderId="17" xfId="0" applyFont="1" applyFill="1" applyBorder="1" applyAlignment="1">
      <alignment horizontal="center"/>
    </xf>
    <xf numFmtId="0" fontId="51" fillId="4" borderId="16" xfId="0" applyFont="1" applyFill="1" applyBorder="1" applyAlignment="1">
      <alignment horizontal="center"/>
    </xf>
    <xf numFmtId="0" fontId="45" fillId="0" borderId="4" xfId="0" applyFont="1" applyBorder="1" applyAlignment="1">
      <alignment horizontal="left"/>
    </xf>
    <xf numFmtId="165" fontId="45" fillId="0" borderId="4" xfId="4" applyFont="1" applyBorder="1"/>
    <xf numFmtId="0" fontId="45" fillId="0" borderId="2" xfId="0" applyFont="1" applyBorder="1" applyAlignment="1">
      <alignment horizontal="left" wrapText="1"/>
    </xf>
    <xf numFmtId="0" fontId="63" fillId="0" borderId="2" xfId="0" applyFont="1" applyBorder="1"/>
    <xf numFmtId="0" fontId="63" fillId="0" borderId="2" xfId="0" applyFont="1" applyBorder="1" applyAlignment="1">
      <alignment wrapText="1"/>
    </xf>
    <xf numFmtId="4" fontId="46" fillId="0" borderId="0" xfId="0" applyNumberFormat="1" applyFont="1"/>
    <xf numFmtId="0" fontId="45" fillId="0" borderId="2" xfId="0" applyFont="1" applyBorder="1" applyAlignment="1">
      <alignment horizontal="left" vertical="center" wrapText="1"/>
    </xf>
    <xf numFmtId="0" fontId="45" fillId="0" borderId="2" xfId="0" applyFont="1" applyBorder="1"/>
    <xf numFmtId="0" fontId="66" fillId="6" borderId="0" xfId="0" applyFont="1" applyFill="1"/>
    <xf numFmtId="165" fontId="66" fillId="0" borderId="0" xfId="4" applyFont="1"/>
    <xf numFmtId="165" fontId="58" fillId="0" borderId="2" xfId="4" applyFont="1" applyBorder="1"/>
    <xf numFmtId="0" fontId="64" fillId="0" borderId="0" xfId="0" applyFont="1"/>
    <xf numFmtId="0" fontId="56" fillId="4" borderId="5" xfId="0" applyFont="1" applyFill="1" applyBorder="1" applyAlignment="1">
      <alignment horizontal="center"/>
    </xf>
    <xf numFmtId="0" fontId="56" fillId="4" borderId="12" xfId="0" applyFont="1" applyFill="1" applyBorder="1" applyAlignment="1">
      <alignment horizontal="center"/>
    </xf>
    <xf numFmtId="14" fontId="45" fillId="0" borderId="4" xfId="0" applyNumberFormat="1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14" fontId="45" fillId="0" borderId="2" xfId="0" applyNumberFormat="1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165" fontId="64" fillId="0" borderId="0" xfId="0" applyNumberFormat="1" applyFont="1"/>
    <xf numFmtId="0" fontId="51" fillId="0" borderId="2" xfId="0" applyFont="1" applyBorder="1"/>
    <xf numFmtId="165" fontId="61" fillId="0" borderId="2" xfId="4" applyFont="1" applyBorder="1"/>
    <xf numFmtId="4" fontId="64" fillId="0" borderId="0" xfId="0" applyNumberFormat="1" applyFont="1"/>
    <xf numFmtId="0" fontId="53" fillId="0" borderId="0" xfId="0" applyFont="1"/>
    <xf numFmtId="0" fontId="66" fillId="6" borderId="0" xfId="0" applyFont="1" applyFill="1" applyAlignment="1">
      <alignment horizontal="center" vertical="center"/>
    </xf>
    <xf numFmtId="0" fontId="47" fillId="0" borderId="14" xfId="0" applyFont="1" applyBorder="1"/>
    <xf numFmtId="4" fontId="68" fillId="0" borderId="16" xfId="0" applyNumberFormat="1" applyFont="1" applyBorder="1"/>
    <xf numFmtId="0" fontId="56" fillId="0" borderId="0" xfId="0" applyFont="1"/>
    <xf numFmtId="0" fontId="56" fillId="4" borderId="5" xfId="0" applyFont="1" applyFill="1" applyBorder="1" applyAlignment="1">
      <alignment horizontal="center" vertical="center"/>
    </xf>
    <xf numFmtId="0" fontId="56" fillId="4" borderId="12" xfId="0" applyFont="1" applyFill="1" applyBorder="1" applyAlignment="1">
      <alignment horizontal="center" vertical="center"/>
    </xf>
    <xf numFmtId="0" fontId="56" fillId="4" borderId="12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 wrapText="1"/>
    </xf>
    <xf numFmtId="0" fontId="54" fillId="0" borderId="11" xfId="0" applyFont="1" applyBorder="1" applyAlignment="1">
      <alignment horizontal="center"/>
    </xf>
    <xf numFmtId="0" fontId="54" fillId="0" borderId="2" xfId="0" applyFont="1" applyBorder="1"/>
    <xf numFmtId="0" fontId="54" fillId="0" borderId="2" xfId="0" applyFont="1" applyBorder="1" applyAlignment="1">
      <alignment horizontal="center"/>
    </xf>
    <xf numFmtId="165" fontId="60" fillId="0" borderId="2" xfId="6" applyFont="1" applyBorder="1"/>
    <xf numFmtId="165" fontId="60" fillId="0" borderId="8" xfId="0" applyNumberFormat="1" applyFont="1" applyBorder="1"/>
    <xf numFmtId="0" fontId="56" fillId="0" borderId="2" xfId="0" applyFont="1" applyBorder="1" applyAlignment="1">
      <alignment horizontal="right"/>
    </xf>
    <xf numFmtId="165" fontId="61" fillId="0" borderId="2" xfId="0" applyNumberFormat="1" applyFont="1" applyBorder="1"/>
    <xf numFmtId="0" fontId="61" fillId="0" borderId="2" xfId="0" applyFont="1" applyBorder="1"/>
    <xf numFmtId="165" fontId="61" fillId="0" borderId="9" xfId="0" applyNumberFormat="1" applyFont="1" applyBorder="1"/>
    <xf numFmtId="0" fontId="54" fillId="0" borderId="14" xfId="0" applyFont="1" applyBorder="1"/>
    <xf numFmtId="0" fontId="56" fillId="0" borderId="17" xfId="0" applyFont="1" applyBorder="1" applyAlignment="1">
      <alignment horizontal="center"/>
    </xf>
    <xf numFmtId="0" fontId="54" fillId="0" borderId="17" xfId="0" applyFont="1" applyBorder="1"/>
    <xf numFmtId="0" fontId="56" fillId="0" borderId="17" xfId="0" applyFont="1" applyBorder="1"/>
    <xf numFmtId="165" fontId="61" fillId="0" borderId="17" xfId="0" applyNumberFormat="1" applyFont="1" applyBorder="1"/>
    <xf numFmtId="0" fontId="69" fillId="0" borderId="17" xfId="0" applyFont="1" applyBorder="1"/>
    <xf numFmtId="165" fontId="61" fillId="0" borderId="16" xfId="0" applyNumberFormat="1" applyFont="1" applyBorder="1"/>
    <xf numFmtId="165" fontId="53" fillId="0" borderId="0" xfId="0" applyNumberFormat="1" applyFont="1"/>
    <xf numFmtId="0" fontId="51" fillId="4" borderId="35" xfId="0" applyFont="1" applyFill="1" applyBorder="1" applyAlignment="1">
      <alignment horizontal="center"/>
    </xf>
    <xf numFmtId="0" fontId="51" fillId="4" borderId="33" xfId="0" applyFont="1" applyFill="1" applyBorder="1" applyAlignment="1">
      <alignment horizontal="center"/>
    </xf>
    <xf numFmtId="0" fontId="45" fillId="0" borderId="30" xfId="0" applyFont="1" applyBorder="1"/>
    <xf numFmtId="165" fontId="45" fillId="0" borderId="16" xfId="4" applyFont="1" applyBorder="1"/>
    <xf numFmtId="0" fontId="70" fillId="6" borderId="0" xfId="0" applyFont="1" applyFill="1" applyAlignment="1">
      <alignment horizontal="center" vertical="center"/>
    </xf>
    <xf numFmtId="165" fontId="59" fillId="0" borderId="9" xfId="4" applyFont="1" applyBorder="1" applyAlignment="1">
      <alignment horizontal="right"/>
    </xf>
    <xf numFmtId="165" fontId="45" fillId="0" borderId="16" xfId="4" applyFont="1" applyBorder="1" applyAlignment="1">
      <alignment horizontal="right"/>
    </xf>
    <xf numFmtId="165" fontId="54" fillId="0" borderId="18" xfId="4" applyFont="1" applyBorder="1" applyAlignment="1">
      <alignment horizontal="right"/>
    </xf>
    <xf numFmtId="165" fontId="67" fillId="0" borderId="8" xfId="4" applyFont="1" applyBorder="1" applyAlignment="1">
      <alignment horizontal="right"/>
    </xf>
    <xf numFmtId="165" fontId="56" fillId="0" borderId="10" xfId="6" applyFont="1" applyBorder="1"/>
    <xf numFmtId="165" fontId="60" fillId="0" borderId="8" xfId="6" applyFont="1" applyBorder="1"/>
    <xf numFmtId="165" fontId="54" fillId="0" borderId="10" xfId="6" applyFont="1" applyFill="1" applyBorder="1"/>
    <xf numFmtId="165" fontId="54" fillId="0" borderId="8" xfId="6" applyFont="1" applyFill="1" applyBorder="1"/>
    <xf numFmtId="165" fontId="61" fillId="0" borderId="9" xfId="6" applyFont="1" applyFill="1" applyBorder="1"/>
    <xf numFmtId="165" fontId="54" fillId="0" borderId="0" xfId="6" applyFont="1" applyBorder="1"/>
    <xf numFmtId="165" fontId="45" fillId="0" borderId="7" xfId="0" applyNumberFormat="1" applyFont="1" applyBorder="1"/>
    <xf numFmtId="49" fontId="45" fillId="0" borderId="20" xfId="0" applyNumberFormat="1" applyFont="1" applyBorder="1"/>
    <xf numFmtId="165" fontId="45" fillId="0" borderId="21" xfId="4" applyFont="1" applyBorder="1"/>
    <xf numFmtId="165" fontId="58" fillId="0" borderId="21" xfId="4" applyFont="1" applyBorder="1"/>
    <xf numFmtId="0" fontId="51" fillId="0" borderId="22" xfId="0" applyFont="1" applyBorder="1"/>
    <xf numFmtId="165" fontId="59" fillId="0" borderId="23" xfId="4" applyFont="1" applyBorder="1"/>
    <xf numFmtId="0" fontId="45" fillId="0" borderId="24" xfId="0" applyFont="1" applyBorder="1"/>
    <xf numFmtId="0" fontId="45" fillId="0" borderId="3" xfId="0" applyFont="1" applyBorder="1"/>
    <xf numFmtId="165" fontId="45" fillId="0" borderId="25" xfId="4" applyFont="1" applyBorder="1"/>
    <xf numFmtId="0" fontId="45" fillId="0" borderId="20" xfId="0" applyFont="1" applyBorder="1"/>
    <xf numFmtId="0" fontId="51" fillId="0" borderId="26" xfId="0" applyFont="1" applyBorder="1"/>
    <xf numFmtId="165" fontId="59" fillId="0" borderId="27" xfId="4" applyFont="1" applyBorder="1"/>
    <xf numFmtId="0" fontId="45" fillId="4" borderId="0" xfId="0" applyFont="1" applyFill="1"/>
    <xf numFmtId="165" fontId="45" fillId="4" borderId="0" xfId="4" applyFont="1" applyFill="1"/>
    <xf numFmtId="165" fontId="51" fillId="0" borderId="3" xfId="4" applyFont="1" applyBorder="1"/>
    <xf numFmtId="165" fontId="61" fillId="0" borderId="0" xfId="4" applyFont="1"/>
    <xf numFmtId="0" fontId="51" fillId="5" borderId="5" xfId="0" applyFont="1" applyFill="1" applyBorder="1" applyAlignment="1">
      <alignment horizontal="center"/>
    </xf>
    <xf numFmtId="0" fontId="51" fillId="5" borderId="12" xfId="0" applyFont="1" applyFill="1" applyBorder="1" applyAlignment="1">
      <alignment horizontal="center"/>
    </xf>
    <xf numFmtId="165" fontId="51" fillId="5" borderId="6" xfId="6" applyFont="1" applyFill="1" applyBorder="1" applyAlignment="1">
      <alignment horizontal="center"/>
    </xf>
    <xf numFmtId="49" fontId="45" fillId="5" borderId="10" xfId="0" applyNumberFormat="1" applyFont="1" applyFill="1" applyBorder="1"/>
    <xf numFmtId="0" fontId="45" fillId="5" borderId="4" xfId="0" applyFont="1" applyFill="1" applyBorder="1"/>
    <xf numFmtId="0" fontId="45" fillId="5" borderId="4" xfId="0" applyFont="1" applyFill="1" applyBorder="1" applyAlignment="1">
      <alignment horizontal="center"/>
    </xf>
    <xf numFmtId="165" fontId="58" fillId="5" borderId="8" xfId="6" applyFont="1" applyFill="1" applyBorder="1"/>
    <xf numFmtId="0" fontId="51" fillId="5" borderId="14" xfId="0" applyFont="1" applyFill="1" applyBorder="1"/>
    <xf numFmtId="0" fontId="51" fillId="5" borderId="17" xfId="0" applyFont="1" applyFill="1" applyBorder="1"/>
    <xf numFmtId="165" fontId="59" fillId="5" borderId="16" xfId="6" applyFont="1" applyFill="1" applyBorder="1"/>
    <xf numFmtId="0" fontId="45" fillId="5" borderId="10" xfId="0" applyFont="1" applyFill="1" applyBorder="1"/>
    <xf numFmtId="14" fontId="45" fillId="5" borderId="4" xfId="0" applyNumberFormat="1" applyFont="1" applyFill="1" applyBorder="1" applyAlignment="1">
      <alignment horizontal="center"/>
    </xf>
    <xf numFmtId="165" fontId="45" fillId="5" borderId="8" xfId="6" applyFont="1" applyFill="1" applyBorder="1"/>
    <xf numFmtId="0" fontId="45" fillId="5" borderId="11" xfId="0" applyFont="1" applyFill="1" applyBorder="1"/>
    <xf numFmtId="0" fontId="45" fillId="5" borderId="2" xfId="0" applyFont="1" applyFill="1" applyBorder="1"/>
    <xf numFmtId="14" fontId="45" fillId="5" borderId="2" xfId="0" applyNumberFormat="1" applyFont="1" applyFill="1" applyBorder="1" applyAlignment="1">
      <alignment horizontal="center"/>
    </xf>
    <xf numFmtId="165" fontId="58" fillId="5" borderId="9" xfId="6" applyFont="1" applyFill="1" applyBorder="1"/>
    <xf numFmtId="165" fontId="71" fillId="0" borderId="0" xfId="4" applyFont="1"/>
    <xf numFmtId="165" fontId="61" fillId="0" borderId="0" xfId="4" applyFont="1" applyBorder="1"/>
    <xf numFmtId="165" fontId="54" fillId="8" borderId="0" xfId="4" applyFont="1" applyFill="1"/>
    <xf numFmtId="0" fontId="45" fillId="5" borderId="0" xfId="0" applyFont="1" applyFill="1"/>
    <xf numFmtId="165" fontId="45" fillId="8" borderId="0" xfId="0" applyNumberFormat="1" applyFont="1" applyFill="1"/>
    <xf numFmtId="165" fontId="45" fillId="5" borderId="0" xfId="0" applyNumberFormat="1" applyFont="1" applyFill="1"/>
    <xf numFmtId="165" fontId="45" fillId="8" borderId="7" xfId="0" applyNumberFormat="1" applyFont="1" applyFill="1" applyBorder="1"/>
    <xf numFmtId="165" fontId="45" fillId="5" borderId="0" xfId="4" applyFont="1" applyFill="1"/>
    <xf numFmtId="49" fontId="64" fillId="5" borderId="10" xfId="0" applyNumberFormat="1" applyFont="1" applyFill="1" applyBorder="1"/>
    <xf numFmtId="0" fontId="64" fillId="0" borderId="0" xfId="0" applyFont="1" applyAlignment="1">
      <alignment horizontal="center"/>
    </xf>
    <xf numFmtId="0" fontId="45" fillId="5" borderId="30" xfId="0" applyFont="1" applyFill="1" applyBorder="1"/>
    <xf numFmtId="0" fontId="64" fillId="5" borderId="19" xfId="0" applyFont="1" applyFill="1" applyBorder="1" applyAlignment="1">
      <alignment vertical="center"/>
    </xf>
    <xf numFmtId="0" fontId="45" fillId="5" borderId="19" xfId="0" applyFont="1" applyFill="1" applyBorder="1"/>
    <xf numFmtId="14" fontId="45" fillId="5" borderId="19" xfId="0" applyNumberFormat="1" applyFont="1" applyFill="1" applyBorder="1" applyAlignment="1">
      <alignment horizontal="center"/>
    </xf>
    <xf numFmtId="165" fontId="45" fillId="5" borderId="18" xfId="6" applyFont="1" applyFill="1" applyBorder="1"/>
    <xf numFmtId="0" fontId="45" fillId="5" borderId="14" xfId="0" applyFont="1" applyFill="1" applyBorder="1"/>
    <xf numFmtId="0" fontId="45" fillId="5" borderId="17" xfId="0" applyFont="1" applyFill="1" applyBorder="1"/>
    <xf numFmtId="14" fontId="45" fillId="5" borderId="17" xfId="0" applyNumberFormat="1" applyFont="1" applyFill="1" applyBorder="1" applyAlignment="1">
      <alignment horizontal="center"/>
    </xf>
    <xf numFmtId="165" fontId="58" fillId="5" borderId="16" xfId="6" applyFont="1" applyFill="1" applyBorder="1"/>
    <xf numFmtId="0" fontId="72" fillId="5" borderId="4" xfId="0" applyFont="1" applyFill="1" applyBorder="1" applyAlignment="1">
      <alignment horizontal="center"/>
    </xf>
    <xf numFmtId="0" fontId="64" fillId="5" borderId="4" xfId="0" applyFont="1" applyFill="1" applyBorder="1" applyAlignment="1">
      <alignment horizontal="center" vertical="center"/>
    </xf>
    <xf numFmtId="49" fontId="45" fillId="5" borderId="4" xfId="0" applyNumberFormat="1" applyFont="1" applyFill="1" applyBorder="1" applyAlignment="1">
      <alignment horizontal="center"/>
    </xf>
    <xf numFmtId="165" fontId="51" fillId="0" borderId="7" xfId="0" applyNumberFormat="1" applyFont="1" applyBorder="1"/>
    <xf numFmtId="165" fontId="65" fillId="0" borderId="0" xfId="6" applyFont="1"/>
    <xf numFmtId="165" fontId="51" fillId="4" borderId="6" xfId="6" applyFont="1" applyFill="1" applyBorder="1" applyAlignment="1">
      <alignment horizontal="center"/>
    </xf>
    <xf numFmtId="14" fontId="51" fillId="0" borderId="0" xfId="0" applyNumberFormat="1" applyFont="1"/>
    <xf numFmtId="165" fontId="45" fillId="0" borderId="9" xfId="4" applyFont="1" applyFill="1" applyBorder="1"/>
    <xf numFmtId="0" fontId="45" fillId="0" borderId="34" xfId="0" applyFont="1" applyBorder="1"/>
    <xf numFmtId="165" fontId="58" fillId="0" borderId="9" xfId="4" applyFont="1" applyFill="1" applyBorder="1"/>
    <xf numFmtId="4" fontId="51" fillId="0" borderId="0" xfId="0" applyNumberFormat="1" applyFont="1" applyAlignment="1">
      <alignment horizontal="center"/>
    </xf>
    <xf numFmtId="165" fontId="45" fillId="0" borderId="8" xfId="6" applyFont="1" applyFill="1" applyBorder="1" applyAlignment="1">
      <alignment horizontal="right"/>
    </xf>
    <xf numFmtId="165" fontId="45" fillId="0" borderId="9" xfId="6" applyFont="1" applyBorder="1" applyAlignment="1">
      <alignment horizontal="right"/>
    </xf>
    <xf numFmtId="165" fontId="58" fillId="0" borderId="9" xfId="6" applyFont="1" applyBorder="1" applyAlignment="1">
      <alignment horizontal="right"/>
    </xf>
    <xf numFmtId="165" fontId="45" fillId="0" borderId="14" xfId="0" applyNumberFormat="1" applyFont="1" applyBorder="1"/>
    <xf numFmtId="4" fontId="45" fillId="0" borderId="0" xfId="18" applyNumberFormat="1" applyFont="1"/>
    <xf numFmtId="164" fontId="45" fillId="0" borderId="0" xfId="0" applyNumberFormat="1" applyFont="1" applyAlignment="1">
      <alignment horizontal="left" vertical="center" indent="4"/>
    </xf>
    <xf numFmtId="165" fontId="45" fillId="0" borderId="16" xfId="0" applyNumberFormat="1" applyFont="1" applyBorder="1"/>
    <xf numFmtId="165" fontId="51" fillId="0" borderId="16" xfId="4" applyFont="1" applyBorder="1"/>
    <xf numFmtId="165" fontId="58" fillId="0" borderId="4" xfId="4" applyFont="1" applyBorder="1"/>
    <xf numFmtId="0" fontId="51" fillId="0" borderId="2" xfId="0" applyFont="1" applyBorder="1" applyAlignment="1">
      <alignment horizontal="right"/>
    </xf>
    <xf numFmtId="0" fontId="56" fillId="0" borderId="2" xfId="0" applyFont="1" applyBorder="1"/>
    <xf numFmtId="0" fontId="66" fillId="0" borderId="0" xfId="0" applyFont="1"/>
    <xf numFmtId="165" fontId="54" fillId="0" borderId="2" xfId="4" applyFont="1" applyBorder="1"/>
    <xf numFmtId="0" fontId="54" fillId="0" borderId="4" xfId="0" applyFont="1" applyBorder="1"/>
    <xf numFmtId="165" fontId="54" fillId="0" borderId="4" xfId="4" applyFont="1" applyBorder="1"/>
    <xf numFmtId="0" fontId="56" fillId="0" borderId="5" xfId="0" applyFont="1" applyBorder="1" applyAlignment="1">
      <alignment horizontal="center"/>
    </xf>
    <xf numFmtId="165" fontId="56" fillId="0" borderId="6" xfId="4" applyFont="1" applyBorder="1" applyAlignment="1">
      <alignment horizontal="center"/>
    </xf>
    <xf numFmtId="165" fontId="60" fillId="0" borderId="2" xfId="4" applyFont="1" applyBorder="1"/>
    <xf numFmtId="165" fontId="54" fillId="0" borderId="0" xfId="4" applyFont="1" applyBorder="1"/>
    <xf numFmtId="165" fontId="51" fillId="0" borderId="0" xfId="4" applyFont="1" applyAlignment="1">
      <alignment horizontal="center"/>
    </xf>
    <xf numFmtId="165" fontId="51" fillId="0" borderId="0" xfId="4" applyFont="1" applyAlignment="1">
      <alignment horizontal="center" vertical="top"/>
    </xf>
    <xf numFmtId="165" fontId="51" fillId="0" borderId="0" xfId="4" applyFont="1" applyAlignment="1">
      <alignment vertical="top"/>
    </xf>
    <xf numFmtId="0" fontId="56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77" fillId="0" borderId="0" xfId="0" applyFont="1" applyAlignment="1">
      <alignment horizontal="center"/>
    </xf>
    <xf numFmtId="165" fontId="56" fillId="0" borderId="7" xfId="6" applyFont="1" applyFill="1" applyBorder="1"/>
    <xf numFmtId="0" fontId="67" fillId="0" borderId="2" xfId="0" applyFont="1" applyBorder="1" applyAlignment="1">
      <alignment horizontal="center"/>
    </xf>
    <xf numFmtId="0" fontId="54" fillId="0" borderId="2" xfId="0" applyFont="1" applyBorder="1" applyAlignment="1">
      <alignment vertical="center"/>
    </xf>
    <xf numFmtId="165" fontId="54" fillId="0" borderId="2" xfId="6" applyFont="1" applyFill="1" applyBorder="1"/>
    <xf numFmtId="165" fontId="54" fillId="0" borderId="2" xfId="4" applyFont="1" applyFill="1" applyBorder="1"/>
    <xf numFmtId="0" fontId="54" fillId="0" borderId="2" xfId="0" applyFont="1" applyBorder="1" applyAlignment="1">
      <alignment horizontal="left" vertical="center"/>
    </xf>
    <xf numFmtId="165" fontId="56" fillId="0" borderId="2" xfId="6" applyFont="1" applyFill="1" applyBorder="1"/>
    <xf numFmtId="165" fontId="57" fillId="0" borderId="2" xfId="6" applyFont="1" applyFill="1" applyBorder="1" applyAlignment="1"/>
    <xf numFmtId="165" fontId="76" fillId="0" borderId="2" xfId="6" applyFont="1" applyFill="1" applyBorder="1" applyAlignment="1"/>
    <xf numFmtId="165" fontId="61" fillId="0" borderId="2" xfId="4" applyFont="1" applyFill="1" applyBorder="1"/>
    <xf numFmtId="0" fontId="54" fillId="0" borderId="4" xfId="0" applyFont="1" applyBorder="1" applyAlignment="1">
      <alignment vertical="center"/>
    </xf>
    <xf numFmtId="0" fontId="54" fillId="0" borderId="4" xfId="0" applyFont="1" applyBorder="1" applyAlignment="1">
      <alignment wrapText="1"/>
    </xf>
    <xf numFmtId="165" fontId="54" fillId="0" borderId="4" xfId="4" applyFont="1" applyFill="1" applyBorder="1" applyAlignment="1">
      <alignment wrapText="1"/>
    </xf>
    <xf numFmtId="165" fontId="54" fillId="0" borderId="4" xfId="6" applyFont="1" applyFill="1" applyBorder="1"/>
    <xf numFmtId="0" fontId="78" fillId="0" borderId="12" xfId="0" applyFont="1" applyBorder="1" applyAlignment="1">
      <alignment horizontal="center"/>
    </xf>
    <xf numFmtId="165" fontId="78" fillId="0" borderId="6" xfId="6" applyFont="1" applyFill="1" applyBorder="1" applyAlignment="1">
      <alignment horizontal="center"/>
    </xf>
    <xf numFmtId="0" fontId="56" fillId="0" borderId="7" xfId="0" applyFont="1" applyBorder="1"/>
    <xf numFmtId="165" fontId="56" fillId="0" borderId="7" xfId="0" applyNumberFormat="1" applyFont="1" applyBorder="1"/>
    <xf numFmtId="165" fontId="46" fillId="0" borderId="0" xfId="6" applyFont="1" applyFill="1"/>
    <xf numFmtId="165" fontId="45" fillId="0" borderId="0" xfId="6" applyFont="1" applyFill="1"/>
    <xf numFmtId="0" fontId="80" fillId="0" borderId="0" xfId="0" applyFont="1" applyAlignment="1">
      <alignment vertical="center"/>
    </xf>
    <xf numFmtId="0" fontId="79" fillId="0" borderId="0" xfId="71" applyAlignment="1">
      <alignment vertical="center"/>
    </xf>
    <xf numFmtId="0" fontId="81" fillId="0" borderId="0" xfId="0" applyFont="1"/>
    <xf numFmtId="165" fontId="45" fillId="0" borderId="0" xfId="35" applyFont="1" applyAlignment="1">
      <alignment horizontal="right"/>
    </xf>
    <xf numFmtId="0" fontId="81" fillId="0" borderId="0" xfId="0" applyFont="1" applyAlignment="1">
      <alignment horizontal="center"/>
    </xf>
    <xf numFmtId="165" fontId="56" fillId="0" borderId="10" xfId="6" applyFont="1" applyFill="1" applyBorder="1"/>
    <xf numFmtId="165" fontId="56" fillId="0" borderId="8" xfId="6" applyFont="1" applyFill="1" applyBorder="1"/>
    <xf numFmtId="165" fontId="82" fillId="0" borderId="8" xfId="6" applyFont="1" applyFill="1" applyBorder="1"/>
    <xf numFmtId="165" fontId="56" fillId="0" borderId="11" xfId="6" applyFont="1" applyFill="1" applyBorder="1"/>
    <xf numFmtId="165" fontId="64" fillId="0" borderId="0" xfId="45" applyFont="1"/>
    <xf numFmtId="0" fontId="45" fillId="0" borderId="10" xfId="18" applyFont="1" applyBorder="1"/>
    <xf numFmtId="0" fontId="45" fillId="0" borderId="11" xfId="18" applyFont="1" applyBorder="1"/>
    <xf numFmtId="0" fontId="45" fillId="0" borderId="11" xfId="18" applyFont="1" applyBorder="1" applyAlignment="1">
      <alignment horizontal="left" wrapText="1"/>
    </xf>
    <xf numFmtId="0" fontId="51" fillId="0" borderId="11" xfId="18" applyFont="1" applyBorder="1"/>
    <xf numFmtId="165" fontId="59" fillId="0" borderId="9" xfId="4" applyFont="1" applyFill="1" applyBorder="1"/>
    <xf numFmtId="4" fontId="45" fillId="0" borderId="8" xfId="18" applyNumberFormat="1" applyFont="1" applyBorder="1"/>
    <xf numFmtId="4" fontId="45" fillId="0" borderId="9" xfId="18" applyNumberFormat="1" applyFont="1" applyBorder="1"/>
    <xf numFmtId="165" fontId="56" fillId="0" borderId="34" xfId="35" applyFont="1" applyBorder="1" applyAlignment="1">
      <alignment horizontal="right"/>
    </xf>
    <xf numFmtId="165" fontId="45" fillId="0" borderId="18" xfId="6" applyFont="1" applyBorder="1" applyAlignment="1">
      <alignment horizontal="right"/>
    </xf>
    <xf numFmtId="165" fontId="51" fillId="0" borderId="9" xfId="0" applyNumberFormat="1" applyFont="1" applyBorder="1"/>
    <xf numFmtId="165" fontId="51" fillId="0" borderId="16" xfId="0" applyNumberFormat="1" applyFont="1" applyBorder="1"/>
    <xf numFmtId="0" fontId="45" fillId="0" borderId="10" xfId="0" applyFont="1" applyBorder="1" applyAlignment="1">
      <alignment horizontal="left" wrapText="1"/>
    </xf>
    <xf numFmtId="0" fontId="34" fillId="0" borderId="0" xfId="0" applyFont="1"/>
    <xf numFmtId="165" fontId="45" fillId="0" borderId="1" xfId="0" applyNumberFormat="1" applyFont="1" applyBorder="1" applyAlignment="1">
      <alignment horizontal="right"/>
    </xf>
    <xf numFmtId="0" fontId="19" fillId="0" borderId="0" xfId="76"/>
    <xf numFmtId="4" fontId="19" fillId="0" borderId="0" xfId="76" applyNumberFormat="1"/>
    <xf numFmtId="17" fontId="51" fillId="0" borderId="0" xfId="73" applyNumberFormat="1" applyFont="1"/>
    <xf numFmtId="165" fontId="45" fillId="0" borderId="0" xfId="73" applyNumberFormat="1" applyFont="1"/>
    <xf numFmtId="0" fontId="45" fillId="0" borderId="0" xfId="73" applyFont="1"/>
    <xf numFmtId="165" fontId="75" fillId="0" borderId="0" xfId="75" applyFont="1"/>
    <xf numFmtId="0" fontId="74" fillId="4" borderId="5" xfId="73" applyFont="1" applyFill="1" applyBorder="1" applyAlignment="1">
      <alignment horizontal="center" vertical="center" wrapText="1"/>
    </xf>
    <xf numFmtId="0" fontId="57" fillId="4" borderId="12" xfId="73" applyFont="1" applyFill="1" applyBorder="1" applyAlignment="1">
      <alignment horizontal="center" vertical="center" wrapText="1"/>
    </xf>
    <xf numFmtId="0" fontId="57" fillId="4" borderId="6" xfId="73" applyFont="1" applyFill="1" applyBorder="1" applyAlignment="1">
      <alignment horizontal="center" vertical="center" wrapText="1"/>
    </xf>
    <xf numFmtId="0" fontId="45" fillId="0" borderId="10" xfId="73" applyFont="1" applyBorder="1"/>
    <xf numFmtId="0" fontId="45" fillId="0" borderId="11" xfId="73" applyFont="1" applyBorder="1"/>
    <xf numFmtId="0" fontId="51" fillId="0" borderId="11" xfId="73" applyFont="1" applyBorder="1"/>
    <xf numFmtId="0" fontId="51" fillId="0" borderId="11" xfId="73" applyFont="1" applyBorder="1" applyAlignment="1">
      <alignment vertical="center" wrapText="1"/>
    </xf>
    <xf numFmtId="0" fontId="45" fillId="0" borderId="14" xfId="73" applyFont="1" applyBorder="1"/>
    <xf numFmtId="0" fontId="45" fillId="0" borderId="30" xfId="18" applyFont="1" applyBorder="1"/>
    <xf numFmtId="165" fontId="51" fillId="0" borderId="13" xfId="4" applyFont="1" applyFill="1" applyBorder="1" applyAlignment="1">
      <alignment horizontal="center" vertical="center" wrapText="1"/>
    </xf>
    <xf numFmtId="0" fontId="45" fillId="0" borderId="0" xfId="0" quotePrefix="1" applyFont="1" applyAlignment="1">
      <alignment horizontal="left"/>
    </xf>
    <xf numFmtId="165" fontId="83" fillId="0" borderId="0" xfId="4" applyFont="1" applyFill="1" applyAlignment="1">
      <alignment horizontal="center"/>
    </xf>
    <xf numFmtId="165" fontId="73" fillId="0" borderId="0" xfId="4" applyFont="1" applyFill="1" applyAlignment="1">
      <alignment horizontal="center"/>
    </xf>
    <xf numFmtId="10" fontId="51" fillId="0" borderId="0" xfId="43" applyNumberFormat="1" applyFont="1" applyFill="1" applyAlignment="1">
      <alignment horizontal="center"/>
    </xf>
    <xf numFmtId="165" fontId="45" fillId="0" borderId="1" xfId="4" applyFont="1" applyFill="1" applyBorder="1"/>
    <xf numFmtId="0" fontId="51" fillId="0" borderId="0" xfId="0" applyFont="1" applyAlignment="1">
      <alignment horizontal="left" indent="3"/>
    </xf>
    <xf numFmtId="165" fontId="45" fillId="0" borderId="0" xfId="0" applyNumberFormat="1" applyFont="1" applyAlignment="1">
      <alignment horizontal="center"/>
    </xf>
    <xf numFmtId="165" fontId="54" fillId="0" borderId="0" xfId="6" applyFont="1" applyFill="1"/>
    <xf numFmtId="165" fontId="51" fillId="0" borderId="0" xfId="0" applyNumberFormat="1" applyFont="1"/>
    <xf numFmtId="165" fontId="51" fillId="0" borderId="37" xfId="4" applyFont="1" applyBorder="1" applyAlignment="1">
      <alignment horizontal="center"/>
    </xf>
    <xf numFmtId="165" fontId="45" fillId="0" borderId="37" xfId="4" applyFont="1" applyBorder="1"/>
    <xf numFmtId="0" fontId="45" fillId="0" borderId="38" xfId="0" applyFont="1" applyBorder="1"/>
    <xf numFmtId="165" fontId="59" fillId="0" borderId="16" xfId="0" applyNumberFormat="1" applyFont="1" applyBorder="1"/>
    <xf numFmtId="165" fontId="51" fillId="0" borderId="0" xfId="4" applyFont="1" applyBorder="1" applyAlignment="1">
      <alignment horizontal="center"/>
    </xf>
    <xf numFmtId="0" fontId="47" fillId="7" borderId="40" xfId="0" applyFont="1" applyFill="1" applyBorder="1" applyAlignment="1">
      <alignment horizontal="center"/>
    </xf>
    <xf numFmtId="0" fontId="51" fillId="0" borderId="34" xfId="0" applyFont="1" applyBorder="1" applyAlignment="1">
      <alignment horizontal="center"/>
    </xf>
    <xf numFmtId="171" fontId="45" fillId="0" borderId="34" xfId="0" applyNumberFormat="1" applyFont="1" applyBorder="1"/>
    <xf numFmtId="0" fontId="45" fillId="0" borderId="41" xfId="0" applyFont="1" applyBorder="1"/>
    <xf numFmtId="165" fontId="51" fillId="0" borderId="34" xfId="4" applyFont="1" applyBorder="1" applyAlignment="1">
      <alignment horizontal="center"/>
    </xf>
    <xf numFmtId="165" fontId="45" fillId="0" borderId="37" xfId="4" applyFont="1" applyFill="1" applyBorder="1"/>
    <xf numFmtId="169" fontId="45" fillId="0" borderId="34" xfId="4" applyNumberFormat="1" applyFont="1" applyBorder="1"/>
    <xf numFmtId="0" fontId="48" fillId="0" borderId="0" xfId="0" applyFont="1" applyAlignment="1">
      <alignment horizontal="center"/>
    </xf>
    <xf numFmtId="165" fontId="47" fillId="0" borderId="13" xfId="4" applyFont="1" applyFill="1" applyBorder="1" applyAlignment="1">
      <alignment horizontal="center" vertical="center" wrapText="1"/>
    </xf>
    <xf numFmtId="0" fontId="56" fillId="0" borderId="0" xfId="18" applyFont="1" applyAlignment="1">
      <alignment horizontal="center"/>
    </xf>
    <xf numFmtId="0" fontId="45" fillId="0" borderId="0" xfId="0" applyFont="1" applyAlignment="1">
      <alignment horizontal="left" wrapText="1"/>
    </xf>
    <xf numFmtId="165" fontId="56" fillId="0" borderId="0" xfId="18" applyNumberFormat="1" applyFont="1" applyAlignment="1">
      <alignment horizontal="center"/>
    </xf>
    <xf numFmtId="165" fontId="46" fillId="0" borderId="0" xfId="4" applyFont="1" applyFill="1"/>
    <xf numFmtId="0" fontId="57" fillId="0" borderId="0" xfId="0" applyFont="1" applyAlignment="1">
      <alignment horizontal="center"/>
    </xf>
    <xf numFmtId="4" fontId="18" fillId="0" borderId="0" xfId="77" applyNumberFormat="1"/>
    <xf numFmtId="4" fontId="89" fillId="0" borderId="0" xfId="0" applyNumberFormat="1" applyFont="1"/>
    <xf numFmtId="165" fontId="46" fillId="0" borderId="0" xfId="6" applyFont="1" applyBorder="1"/>
    <xf numFmtId="0" fontId="45" fillId="0" borderId="0" xfId="0" applyFont="1" applyAlignment="1" applyProtection="1">
      <alignment horizontal="center"/>
      <protection locked="0"/>
    </xf>
    <xf numFmtId="4" fontId="81" fillId="0" borderId="0" xfId="18" applyNumberFormat="1" applyFont="1"/>
    <xf numFmtId="165" fontId="59" fillId="0" borderId="0" xfId="4" applyFont="1" applyFill="1" applyBorder="1"/>
    <xf numFmtId="165" fontId="64" fillId="0" borderId="0" xfId="45" applyFont="1" applyFill="1" applyBorder="1"/>
    <xf numFmtId="165" fontId="45" fillId="0" borderId="8" xfId="4" applyFont="1" applyFill="1" applyBorder="1"/>
    <xf numFmtId="0" fontId="51" fillId="0" borderId="11" xfId="18" applyFont="1" applyBorder="1" applyAlignment="1">
      <alignment wrapText="1"/>
    </xf>
    <xf numFmtId="165" fontId="51" fillId="10" borderId="7" xfId="0" applyNumberFormat="1" applyFont="1" applyFill="1" applyBorder="1"/>
    <xf numFmtId="0" fontId="51" fillId="0" borderId="11" xfId="73" applyFont="1" applyBorder="1" applyAlignment="1">
      <alignment wrapText="1"/>
    </xf>
    <xf numFmtId="165" fontId="90" fillId="0" borderId="0" xfId="84" applyFont="1" applyAlignment="1">
      <alignment horizontal="right"/>
    </xf>
    <xf numFmtId="165" fontId="45" fillId="0" borderId="1" xfId="4" applyFont="1" applyFill="1" applyBorder="1" applyAlignment="1"/>
    <xf numFmtId="165" fontId="51" fillId="0" borderId="3" xfId="4" applyFont="1" applyFill="1" applyBorder="1" applyAlignment="1"/>
    <xf numFmtId="165" fontId="54" fillId="0" borderId="0" xfId="6" applyFont="1" applyFill="1" applyAlignment="1">
      <alignment horizontal="right"/>
    </xf>
    <xf numFmtId="4" fontId="13" fillId="0" borderId="0" xfId="85" applyNumberFormat="1"/>
    <xf numFmtId="4" fontId="12" fillId="0" borderId="0" xfId="86" applyNumberFormat="1"/>
    <xf numFmtId="0" fontId="11" fillId="0" borderId="0" xfId="87"/>
    <xf numFmtId="4" fontId="11" fillId="0" borderId="0" xfId="87" applyNumberFormat="1"/>
    <xf numFmtId="4" fontId="45" fillId="0" borderId="18" xfId="18" applyNumberFormat="1" applyFont="1" applyBorder="1"/>
    <xf numFmtId="0" fontId="51" fillId="4" borderId="35" xfId="0" applyFont="1" applyFill="1" applyBorder="1" applyAlignment="1">
      <alignment horizontal="center" vertical="center" wrapText="1"/>
    </xf>
    <xf numFmtId="0" fontId="48" fillId="0" borderId="11" xfId="0" applyFont="1" applyBorder="1"/>
    <xf numFmtId="4" fontId="67" fillId="0" borderId="9" xfId="18" applyNumberFormat="1" applyFont="1" applyBorder="1"/>
    <xf numFmtId="0" fontId="9" fillId="0" borderId="0" xfId="90"/>
    <xf numFmtId="0" fontId="9" fillId="0" borderId="0" xfId="90" quotePrefix="1"/>
    <xf numFmtId="14" fontId="9" fillId="0" borderId="0" xfId="90" applyNumberFormat="1"/>
    <xf numFmtId="4" fontId="9" fillId="0" borderId="0" xfId="90" applyNumberFormat="1"/>
    <xf numFmtId="4" fontId="9" fillId="0" borderId="7" xfId="90" applyNumberFormat="1" applyBorder="1"/>
    <xf numFmtId="0" fontId="91" fillId="0" borderId="0" xfId="90" applyFont="1"/>
    <xf numFmtId="0" fontId="9" fillId="10" borderId="0" xfId="90" applyFill="1"/>
    <xf numFmtId="165" fontId="58" fillId="0" borderId="8" xfId="4" applyFont="1" applyBorder="1"/>
    <xf numFmtId="0" fontId="9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/>
    <xf numFmtId="165" fontId="42" fillId="0" borderId="2" xfId="4" applyFont="1" applyFill="1" applyBorder="1"/>
    <xf numFmtId="165" fontId="42" fillId="0" borderId="2" xfId="0" applyNumberFormat="1" applyFont="1" applyBorder="1"/>
    <xf numFmtId="0" fontId="42" fillId="0" borderId="2" xfId="0" applyFont="1" applyBorder="1" applyAlignment="1">
      <alignment horizontal="right"/>
    </xf>
    <xf numFmtId="0" fontId="42" fillId="0" borderId="2" xfId="0" applyFont="1" applyBorder="1" applyAlignment="1">
      <alignment vertical="center"/>
    </xf>
    <xf numFmtId="0" fontId="42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1" fontId="4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6" fillId="0" borderId="0" xfId="95" applyNumberFormat="1"/>
    <xf numFmtId="4" fontId="81" fillId="0" borderId="8" xfId="18" applyNumberFormat="1" applyFont="1" applyBorder="1"/>
    <xf numFmtId="0" fontId="4" fillId="0" borderId="0" xfId="98"/>
    <xf numFmtId="14" fontId="4" fillId="0" borderId="0" xfId="98" applyNumberFormat="1"/>
    <xf numFmtId="0" fontId="41" fillId="0" borderId="0" xfId="90" applyFont="1"/>
    <xf numFmtId="165" fontId="93" fillId="0" borderId="0" xfId="4" applyFont="1" applyBorder="1"/>
    <xf numFmtId="0" fontId="41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5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41" fillId="0" borderId="0" xfId="0" applyFont="1"/>
    <xf numFmtId="0" fontId="41" fillId="0" borderId="35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2" fillId="0" borderId="0" xfId="0" applyFont="1"/>
    <xf numFmtId="0" fontId="0" fillId="0" borderId="0" xfId="0" applyAlignment="1">
      <alignment horizontal="center"/>
    </xf>
    <xf numFmtId="0" fontId="9" fillId="10" borderId="0" xfId="90" applyFill="1" applyAlignment="1">
      <alignment horizontal="center"/>
    </xf>
    <xf numFmtId="0" fontId="75" fillId="0" borderId="0" xfId="0" applyFont="1"/>
    <xf numFmtId="4" fontId="52" fillId="0" borderId="0" xfId="78" applyNumberFormat="1" applyFont="1"/>
    <xf numFmtId="0" fontId="64" fillId="9" borderId="48" xfId="0" applyFont="1" applyFill="1" applyBorder="1" applyAlignment="1">
      <alignment horizontal="center"/>
    </xf>
    <xf numFmtId="14" fontId="64" fillId="9" borderId="48" xfId="0" applyNumberFormat="1" applyFont="1" applyFill="1" applyBorder="1" applyAlignment="1">
      <alignment horizontal="center"/>
    </xf>
    <xf numFmtId="4" fontId="64" fillId="9" borderId="48" xfId="0" applyNumberFormat="1" applyFont="1" applyFill="1" applyBorder="1"/>
    <xf numFmtId="0" fontId="64" fillId="9" borderId="42" xfId="0" applyFont="1" applyFill="1" applyBorder="1" applyAlignment="1">
      <alignment horizontal="center"/>
    </xf>
    <xf numFmtId="14" fontId="64" fillId="9" borderId="42" xfId="0" applyNumberFormat="1" applyFont="1" applyFill="1" applyBorder="1" applyAlignment="1">
      <alignment horizontal="center"/>
    </xf>
    <xf numFmtId="4" fontId="64" fillId="9" borderId="42" xfId="0" applyNumberFormat="1" applyFont="1" applyFill="1" applyBorder="1"/>
    <xf numFmtId="4" fontId="98" fillId="9" borderId="42" xfId="0" applyNumberFormat="1" applyFont="1" applyFill="1" applyBorder="1"/>
    <xf numFmtId="4" fontId="99" fillId="9" borderId="42" xfId="0" applyNumberFormat="1" applyFont="1" applyFill="1" applyBorder="1"/>
    <xf numFmtId="4" fontId="53" fillId="0" borderId="0" xfId="0" applyNumberFormat="1" applyFont="1"/>
    <xf numFmtId="0" fontId="64" fillId="9" borderId="42" xfId="0" applyFont="1" applyFill="1" applyBorder="1"/>
    <xf numFmtId="4" fontId="96" fillId="9" borderId="42" xfId="0" applyNumberFormat="1" applyFont="1" applyFill="1" applyBorder="1"/>
    <xf numFmtId="0" fontId="64" fillId="9" borderId="46" xfId="0" applyFont="1" applyFill="1" applyBorder="1" applyAlignment="1">
      <alignment horizontal="center"/>
    </xf>
    <xf numFmtId="14" fontId="64" fillId="9" borderId="47" xfId="0" applyNumberFormat="1" applyFont="1" applyFill="1" applyBorder="1" applyAlignment="1">
      <alignment horizontal="center"/>
    </xf>
    <xf numFmtId="4" fontId="75" fillId="9" borderId="42" xfId="0" applyNumberFormat="1" applyFont="1" applyFill="1" applyBorder="1"/>
    <xf numFmtId="0" fontId="96" fillId="9" borderId="4" xfId="0" applyFont="1" applyFill="1" applyBorder="1" applyAlignment="1">
      <alignment horizontal="center"/>
    </xf>
    <xf numFmtId="0" fontId="96" fillId="9" borderId="5" xfId="0" applyFont="1" applyFill="1" applyBorder="1" applyAlignment="1">
      <alignment horizontal="center"/>
    </xf>
    <xf numFmtId="0" fontId="96" fillId="9" borderId="12" xfId="0" applyFont="1" applyFill="1" applyBorder="1" applyAlignment="1">
      <alignment horizontal="center"/>
    </xf>
    <xf numFmtId="0" fontId="96" fillId="9" borderId="6" xfId="0" applyFont="1" applyFill="1" applyBorder="1" applyAlignment="1">
      <alignment horizontal="center"/>
    </xf>
    <xf numFmtId="0" fontId="100" fillId="0" borderId="0" xfId="0" applyFont="1"/>
    <xf numFmtId="4" fontId="81" fillId="0" borderId="9" xfId="18" applyNumberFormat="1" applyFont="1" applyBorder="1"/>
    <xf numFmtId="165" fontId="59" fillId="0" borderId="16" xfId="4" applyFont="1" applyBorder="1"/>
    <xf numFmtId="0" fontId="51" fillId="0" borderId="0" xfId="0" applyFont="1" applyAlignment="1">
      <alignment vertical="center"/>
    </xf>
    <xf numFmtId="0" fontId="56" fillId="0" borderId="0" xfId="18" applyFont="1" applyAlignment="1">
      <alignment horizontal="center" vertical="center"/>
    </xf>
    <xf numFmtId="165" fontId="45" fillId="0" borderId="0" xfId="4" applyFont="1" applyFill="1" applyAlignment="1">
      <alignment vertical="center"/>
    </xf>
    <xf numFmtId="165" fontId="54" fillId="0" borderId="0" xfId="4" applyFont="1" applyFill="1" applyAlignment="1">
      <alignment vertical="center"/>
    </xf>
    <xf numFmtId="0" fontId="45" fillId="0" borderId="0" xfId="0" applyFont="1" applyAlignment="1">
      <alignment vertical="center"/>
    </xf>
    <xf numFmtId="0" fontId="51" fillId="0" borderId="0" xfId="0" applyFont="1" applyAlignment="1">
      <alignment horizontal="left" vertical="center" wrapText="1"/>
    </xf>
    <xf numFmtId="165" fontId="51" fillId="0" borderId="0" xfId="4" applyFont="1" applyFill="1" applyAlignment="1">
      <alignment vertical="center"/>
    </xf>
    <xf numFmtId="165" fontId="56" fillId="0" borderId="0" xfId="4" applyFont="1" applyFill="1" applyAlignment="1">
      <alignment vertical="center"/>
    </xf>
    <xf numFmtId="4" fontId="45" fillId="0" borderId="0" xfId="0" applyNumberFormat="1" applyFont="1" applyAlignment="1">
      <alignment vertical="center"/>
    </xf>
    <xf numFmtId="165" fontId="45" fillId="0" borderId="0" xfId="6" applyFont="1" applyFill="1" applyAlignment="1">
      <alignment vertical="center"/>
    </xf>
    <xf numFmtId="0" fontId="3" fillId="0" borderId="0" xfId="90" applyFont="1"/>
    <xf numFmtId="0" fontId="64" fillId="9" borderId="51" xfId="0" applyFont="1" applyFill="1" applyBorder="1" applyAlignment="1">
      <alignment horizontal="center"/>
    </xf>
    <xf numFmtId="165" fontId="3" fillId="0" borderId="0" xfId="82" applyFont="1" applyAlignment="1">
      <alignment horizontal="right"/>
    </xf>
    <xf numFmtId="165" fontId="3" fillId="0" borderId="0" xfId="82" applyFont="1" applyFill="1" applyAlignment="1">
      <alignment horizontal="right"/>
    </xf>
    <xf numFmtId="165" fontId="3" fillId="0" borderId="0" xfId="92" applyFont="1" applyAlignment="1">
      <alignment horizontal="right"/>
    </xf>
    <xf numFmtId="165" fontId="3" fillId="0" borderId="0" xfId="4" applyFont="1" applyAlignment="1">
      <alignment horizontal="right"/>
    </xf>
    <xf numFmtId="165" fontId="3" fillId="0" borderId="0" xfId="89" applyFont="1"/>
    <xf numFmtId="165" fontId="3" fillId="0" borderId="0" xfId="99" applyFont="1"/>
    <xf numFmtId="165" fontId="3" fillId="0" borderId="0" xfId="97" applyFont="1"/>
    <xf numFmtId="0" fontId="3" fillId="0" borderId="0" xfId="90" applyFont="1" applyAlignment="1">
      <alignment horizontal="right"/>
    </xf>
    <xf numFmtId="165" fontId="3" fillId="0" borderId="0" xfId="4" applyFont="1"/>
    <xf numFmtId="165" fontId="45" fillId="0" borderId="0" xfId="4" applyFont="1" applyAlignment="1">
      <alignment horizontal="right"/>
    </xf>
    <xf numFmtId="165" fontId="51" fillId="0" borderId="3" xfId="4" applyFont="1" applyBorder="1" applyAlignment="1">
      <alignment horizontal="right"/>
    </xf>
    <xf numFmtId="165" fontId="45" fillId="0" borderId="0" xfId="4" applyFont="1" applyBorder="1" applyAlignment="1">
      <alignment horizontal="right"/>
    </xf>
    <xf numFmtId="165" fontId="45" fillId="0" borderId="0" xfId="4" applyFont="1" applyFill="1" applyBorder="1" applyAlignment="1">
      <alignment horizontal="right"/>
    </xf>
    <xf numFmtId="165" fontId="45" fillId="0" borderId="1" xfId="4" applyFont="1" applyBorder="1" applyAlignment="1">
      <alignment horizontal="right"/>
    </xf>
    <xf numFmtId="165" fontId="45" fillId="0" borderId="1" xfId="4" applyFont="1" applyFill="1" applyBorder="1" applyAlignment="1">
      <alignment horizontal="right"/>
    </xf>
    <xf numFmtId="165" fontId="51" fillId="0" borderId="0" xfId="4" applyFont="1" applyAlignment="1">
      <alignment horizontal="right"/>
    </xf>
    <xf numFmtId="165" fontId="51" fillId="0" borderId="0" xfId="4" applyFont="1" applyFill="1" applyAlignment="1">
      <alignment horizontal="right"/>
    </xf>
    <xf numFmtId="165" fontId="45" fillId="0" borderId="0" xfId="4" applyFont="1" applyFill="1" applyAlignment="1">
      <alignment horizontal="right"/>
    </xf>
    <xf numFmtId="165" fontId="51" fillId="0" borderId="7" xfId="4" applyFont="1" applyBorder="1" applyAlignment="1">
      <alignment horizontal="right"/>
    </xf>
    <xf numFmtId="165" fontId="51" fillId="0" borderId="7" xfId="4" applyFont="1" applyFill="1" applyBorder="1" applyAlignment="1">
      <alignment horizontal="right"/>
    </xf>
    <xf numFmtId="165" fontId="83" fillId="0" borderId="0" xfId="4" applyFont="1" applyAlignment="1">
      <alignment horizontal="right"/>
    </xf>
    <xf numFmtId="175" fontId="45" fillId="0" borderId="0" xfId="4" applyNumberFormat="1" applyFont="1" applyAlignment="1">
      <alignment horizontal="right"/>
    </xf>
    <xf numFmtId="39" fontId="45" fillId="0" borderId="0" xfId="4" applyNumberFormat="1" applyFont="1" applyFill="1" applyAlignment="1">
      <alignment horizontal="right"/>
    </xf>
    <xf numFmtId="39" fontId="45" fillId="0" borderId="0" xfId="4" applyNumberFormat="1" applyFont="1" applyFill="1"/>
    <xf numFmtId="165" fontId="84" fillId="0" borderId="4" xfId="4" applyFont="1" applyBorder="1"/>
    <xf numFmtId="165" fontId="84" fillId="0" borderId="4" xfId="4" applyFont="1" applyFill="1" applyBorder="1"/>
    <xf numFmtId="165" fontId="84" fillId="0" borderId="8" xfId="4" applyFont="1" applyBorder="1"/>
    <xf numFmtId="165" fontId="84" fillId="0" borderId="2" xfId="4" applyFont="1" applyFill="1" applyBorder="1"/>
    <xf numFmtId="165" fontId="84" fillId="0" borderId="2" xfId="4" applyFont="1" applyBorder="1"/>
    <xf numFmtId="165" fontId="85" fillId="0" borderId="2" xfId="4" applyFont="1" applyFill="1" applyBorder="1"/>
    <xf numFmtId="165" fontId="85" fillId="0" borderId="4" xfId="4" applyFont="1" applyFill="1" applyBorder="1"/>
    <xf numFmtId="165" fontId="85" fillId="0" borderId="2" xfId="4" applyFont="1" applyBorder="1"/>
    <xf numFmtId="165" fontId="85" fillId="0" borderId="8" xfId="4" applyFont="1" applyBorder="1"/>
    <xf numFmtId="165" fontId="86" fillId="0" borderId="2" xfId="4" applyFont="1" applyFill="1" applyBorder="1"/>
    <xf numFmtId="165" fontId="86" fillId="0" borderId="2" xfId="4" applyFont="1" applyBorder="1"/>
    <xf numFmtId="165" fontId="86" fillId="0" borderId="9" xfId="4" applyFont="1" applyBorder="1"/>
    <xf numFmtId="165" fontId="84" fillId="0" borderId="9" xfId="4" applyFont="1" applyBorder="1"/>
    <xf numFmtId="165" fontId="87" fillId="0" borderId="2" xfId="4" applyFont="1" applyFill="1" applyBorder="1" applyAlignment="1">
      <alignment wrapText="1"/>
    </xf>
    <xf numFmtId="165" fontId="87" fillId="0" borderId="2" xfId="4" applyFont="1" applyBorder="1" applyAlignment="1">
      <alignment wrapText="1"/>
    </xf>
    <xf numFmtId="165" fontId="87" fillId="0" borderId="9" xfId="4" applyFont="1" applyBorder="1" applyAlignment="1">
      <alignment wrapText="1"/>
    </xf>
    <xf numFmtId="165" fontId="87" fillId="0" borderId="2" xfId="4" applyFont="1" applyFill="1" applyBorder="1"/>
    <xf numFmtId="165" fontId="87" fillId="0" borderId="2" xfId="4" applyFont="1" applyBorder="1"/>
    <xf numFmtId="165" fontId="88" fillId="0" borderId="2" xfId="4" applyFont="1" applyFill="1" applyBorder="1"/>
    <xf numFmtId="165" fontId="88" fillId="0" borderId="2" xfId="4" applyFont="1" applyBorder="1"/>
    <xf numFmtId="165" fontId="88" fillId="0" borderId="9" xfId="4" applyFont="1" applyBorder="1"/>
    <xf numFmtId="165" fontId="45" fillId="0" borderId="17" xfId="4" applyFont="1" applyBorder="1"/>
    <xf numFmtId="165" fontId="45" fillId="0" borderId="17" xfId="4" applyFont="1" applyFill="1" applyBorder="1"/>
    <xf numFmtId="165" fontId="45" fillId="0" borderId="0" xfId="0" applyNumberFormat="1" applyFont="1" applyAlignment="1">
      <alignment horizontal="right"/>
    </xf>
    <xf numFmtId="165" fontId="52" fillId="0" borderId="0" xfId="4" applyFont="1" applyAlignment="1">
      <alignment horizontal="right"/>
    </xf>
    <xf numFmtId="0" fontId="45" fillId="0" borderId="0" xfId="0" applyFont="1" applyAlignment="1">
      <alignment horizontal="right"/>
    </xf>
    <xf numFmtId="165" fontId="58" fillId="0" borderId="0" xfId="4" applyFont="1" applyBorder="1" applyAlignment="1">
      <alignment horizontal="right"/>
    </xf>
    <xf numFmtId="165" fontId="51" fillId="8" borderId="7" xfId="0" applyNumberFormat="1" applyFont="1" applyFill="1" applyBorder="1" applyAlignment="1">
      <alignment horizontal="right"/>
    </xf>
    <xf numFmtId="4" fontId="45" fillId="0" borderId="9" xfId="4" applyNumberFormat="1" applyFont="1" applyBorder="1" applyAlignment="1">
      <alignment horizontal="right"/>
    </xf>
    <xf numFmtId="4" fontId="58" fillId="0" borderId="9" xfId="4" applyNumberFormat="1" applyFont="1" applyBorder="1" applyAlignment="1">
      <alignment horizontal="right"/>
    </xf>
    <xf numFmtId="4" fontId="59" fillId="0" borderId="9" xfId="4" applyNumberFormat="1" applyFont="1" applyBorder="1" applyAlignment="1">
      <alignment horizontal="right"/>
    </xf>
    <xf numFmtId="4" fontId="45" fillId="0" borderId="16" xfId="0" applyNumberFormat="1" applyFont="1" applyBorder="1" applyAlignment="1">
      <alignment horizontal="right"/>
    </xf>
    <xf numFmtId="4" fontId="45" fillId="0" borderId="16" xfId="4" applyNumberFormat="1" applyFont="1" applyBorder="1" applyAlignment="1">
      <alignment horizontal="right"/>
    </xf>
    <xf numFmtId="39" fontId="54" fillId="0" borderId="8" xfId="6" applyNumberFormat="1" applyFont="1" applyBorder="1" applyAlignment="1">
      <alignment horizontal="right"/>
    </xf>
    <xf numFmtId="39" fontId="54" fillId="0" borderId="9" xfId="6" applyNumberFormat="1" applyFont="1" applyBorder="1" applyAlignment="1">
      <alignment horizontal="right"/>
    </xf>
    <xf numFmtId="39" fontId="60" fillId="0" borderId="9" xfId="6" applyNumberFormat="1" applyFont="1" applyBorder="1" applyAlignment="1">
      <alignment horizontal="right"/>
    </xf>
    <xf numFmtId="39" fontId="61" fillId="0" borderId="9" xfId="6" applyNumberFormat="1" applyFont="1" applyBorder="1" applyAlignment="1">
      <alignment horizontal="right"/>
    </xf>
    <xf numFmtId="4" fontId="45" fillId="0" borderId="0" xfId="4" applyNumberFormat="1" applyFont="1" applyBorder="1" applyAlignment="1">
      <alignment horizontal="right"/>
    </xf>
    <xf numFmtId="165" fontId="45" fillId="0" borderId="8" xfId="4" applyFont="1" applyBorder="1" applyAlignment="1">
      <alignment horizontal="right"/>
    </xf>
    <xf numFmtId="165" fontId="45" fillId="0" borderId="9" xfId="4" applyFont="1" applyBorder="1" applyAlignment="1">
      <alignment horizontal="right"/>
    </xf>
    <xf numFmtId="165" fontId="58" fillId="0" borderId="9" xfId="4" applyFont="1" applyBorder="1" applyAlignment="1">
      <alignment horizontal="right"/>
    </xf>
    <xf numFmtId="0" fontId="51" fillId="0" borderId="11" xfId="73" applyFont="1" applyBorder="1" applyAlignment="1">
      <alignment horizontal="center" wrapText="1"/>
    </xf>
    <xf numFmtId="165" fontId="54" fillId="0" borderId="9" xfId="4" applyFont="1" applyFill="1" applyBorder="1"/>
    <xf numFmtId="165" fontId="60" fillId="0" borderId="36" xfId="4" applyFont="1" applyFill="1" applyBorder="1"/>
    <xf numFmtId="165" fontId="96" fillId="0" borderId="0" xfId="4" applyFont="1"/>
    <xf numFmtId="39" fontId="45" fillId="0" borderId="0" xfId="4" applyNumberFormat="1" applyFont="1"/>
    <xf numFmtId="0" fontId="102" fillId="0" borderId="2" xfId="0" applyFont="1" applyBorder="1"/>
    <xf numFmtId="165" fontId="102" fillId="0" borderId="2" xfId="0" applyNumberFormat="1" applyFont="1" applyBorder="1"/>
    <xf numFmtId="0" fontId="102" fillId="0" borderId="0" xfId="0" applyFont="1"/>
    <xf numFmtId="165" fontId="102" fillId="0" borderId="0" xfId="0" applyNumberFormat="1" applyFont="1"/>
    <xf numFmtId="0" fontId="103" fillId="0" borderId="0" xfId="0" applyFont="1"/>
    <xf numFmtId="0" fontId="104" fillId="0" borderId="0" xfId="0" applyFont="1" applyAlignment="1">
      <alignment horizontal="center"/>
    </xf>
    <xf numFmtId="165" fontId="103" fillId="0" borderId="0" xfId="4" applyFont="1"/>
    <xf numFmtId="165" fontId="104" fillId="0" borderId="0" xfId="4" applyFont="1"/>
    <xf numFmtId="0" fontId="101" fillId="0" borderId="0" xfId="0" applyFont="1"/>
    <xf numFmtId="4" fontId="66" fillId="0" borderId="0" xfId="0" applyNumberFormat="1" applyFont="1"/>
    <xf numFmtId="4" fontId="2" fillId="0" borderId="0" xfId="100" applyNumberFormat="1"/>
    <xf numFmtId="165" fontId="45" fillId="0" borderId="0" xfId="4" applyFont="1" applyAlignment="1">
      <alignment horizont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49" fontId="47" fillId="0" borderId="0" xfId="0" applyNumberFormat="1" applyFont="1" applyAlignment="1" applyProtection="1">
      <alignment horizontal="center"/>
      <protection locked="0"/>
    </xf>
    <xf numFmtId="167" fontId="48" fillId="0" borderId="0" xfId="0" applyNumberFormat="1" applyFont="1" applyAlignment="1" applyProtection="1">
      <alignment horizontal="center"/>
      <protection locked="0"/>
    </xf>
    <xf numFmtId="0" fontId="5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165" fontId="51" fillId="0" borderId="0" xfId="4" applyFont="1" applyAlignment="1">
      <alignment horizontal="center"/>
    </xf>
    <xf numFmtId="0" fontId="51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165" fontId="51" fillId="0" borderId="0" xfId="4" applyFont="1" applyAlignment="1">
      <alignment horizontal="center" vertical="top"/>
    </xf>
    <xf numFmtId="165" fontId="45" fillId="0" borderId="0" xfId="4" applyFont="1" applyAlignment="1">
      <alignment horizontal="center" vertical="top"/>
    </xf>
    <xf numFmtId="49" fontId="47" fillId="7" borderId="40" xfId="0" applyNumberFormat="1" applyFont="1" applyFill="1" applyBorder="1" applyAlignment="1">
      <alignment horizontal="center"/>
    </xf>
    <xf numFmtId="49" fontId="47" fillId="7" borderId="39" xfId="0" applyNumberFormat="1" applyFont="1" applyFill="1" applyBorder="1" applyAlignment="1">
      <alignment horizontal="center"/>
    </xf>
    <xf numFmtId="0" fontId="46" fillId="0" borderId="29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173" fontId="5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 wrapText="1"/>
    </xf>
    <xf numFmtId="0" fontId="63" fillId="0" borderId="4" xfId="0" applyFont="1" applyBorder="1" applyAlignment="1">
      <alignment horizontal="center" wrapText="1"/>
    </xf>
    <xf numFmtId="0" fontId="51" fillId="4" borderId="30" xfId="0" applyFont="1" applyFill="1" applyBorder="1" applyAlignment="1">
      <alignment horizontal="center" vertical="center" wrapText="1"/>
    </xf>
    <xf numFmtId="0" fontId="51" fillId="4" borderId="19" xfId="0" applyFont="1" applyFill="1" applyBorder="1" applyAlignment="1">
      <alignment horizontal="center" vertical="center" wrapText="1"/>
    </xf>
    <xf numFmtId="0" fontId="51" fillId="4" borderId="14" xfId="0" applyFont="1" applyFill="1" applyBorder="1" applyAlignment="1">
      <alignment horizontal="center" vertical="center" wrapText="1"/>
    </xf>
    <xf numFmtId="0" fontId="51" fillId="4" borderId="17" xfId="0" applyFont="1" applyFill="1" applyBorder="1" applyAlignment="1">
      <alignment horizontal="center" vertical="center" wrapText="1"/>
    </xf>
    <xf numFmtId="0" fontId="51" fillId="4" borderId="43" xfId="0" applyFont="1" applyFill="1" applyBorder="1" applyAlignment="1">
      <alignment horizontal="center" vertical="center" wrapText="1"/>
    </xf>
    <xf numFmtId="0" fontId="51" fillId="4" borderId="44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174" fontId="56" fillId="0" borderId="0" xfId="0" applyNumberFormat="1" applyFont="1" applyAlignment="1">
      <alignment horizontal="center"/>
    </xf>
    <xf numFmtId="0" fontId="51" fillId="0" borderId="0" xfId="0" applyFont="1" applyAlignment="1">
      <alignment horizontal="center" wrapText="1"/>
    </xf>
    <xf numFmtId="174" fontId="51" fillId="0" borderId="0" xfId="0" applyNumberFormat="1" applyFont="1" applyAlignment="1">
      <alignment horizontal="center"/>
    </xf>
    <xf numFmtId="0" fontId="57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97" fillId="9" borderId="46" xfId="0" applyFont="1" applyFill="1" applyBorder="1" applyAlignment="1">
      <alignment horizontal="center" vertical="center"/>
    </xf>
    <xf numFmtId="0" fontId="97" fillId="9" borderId="47" xfId="0" applyFont="1" applyFill="1" applyBorder="1" applyAlignment="1">
      <alignment horizontal="center" vertical="center"/>
    </xf>
    <xf numFmtId="0" fontId="97" fillId="9" borderId="49" xfId="0" applyFont="1" applyFill="1" applyBorder="1" applyAlignment="1">
      <alignment horizontal="center" vertical="center"/>
    </xf>
    <xf numFmtId="0" fontId="97" fillId="9" borderId="50" xfId="0" applyFont="1" applyFill="1" applyBorder="1" applyAlignment="1">
      <alignment horizontal="center" vertical="center"/>
    </xf>
    <xf numFmtId="0" fontId="75" fillId="0" borderId="0" xfId="0" applyFont="1" applyAlignment="1">
      <alignment horizontal="center"/>
    </xf>
    <xf numFmtId="0" fontId="51" fillId="0" borderId="0" xfId="73" applyFont="1" applyAlignment="1">
      <alignment horizontal="center"/>
    </xf>
    <xf numFmtId="174" fontId="51" fillId="0" borderId="0" xfId="73" applyNumberFormat="1" applyFont="1" applyAlignment="1">
      <alignment horizontal="center"/>
    </xf>
    <xf numFmtId="0" fontId="51" fillId="0" borderId="0" xfId="73" applyFont="1" applyAlignment="1">
      <alignment horizontal="center" vertical="center"/>
    </xf>
  </cellXfs>
  <cellStyles count="106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1" xfId="39" xr:uid="{5B5B509D-9AB8-4DF4-9881-A5AD4E3C9292}"/>
    <cellStyle name="Millares 11 2" xfId="60" xr:uid="{E47AF4B6-51AF-4C58-90E1-485FA4EAD385}"/>
    <cellStyle name="Millares 12" xfId="41" xr:uid="{BAEB21BB-AEC4-4D3C-AD60-57CAEB64DB96}"/>
    <cellStyle name="Millares 12 2" xfId="62" xr:uid="{92523BE6-C024-4D2E-9E25-F311D1958EA0}"/>
    <cellStyle name="Millares 13" xfId="45" xr:uid="{A2BC0D4F-BE36-48E5-B8FE-275FEC761914}"/>
    <cellStyle name="Millares 14" xfId="47" xr:uid="{C434BAC0-B2B3-4518-84FE-EB910D2AFD49}"/>
    <cellStyle name="Millares 15" xfId="66" xr:uid="{8315EAE2-E517-4E66-9A03-1D95CA0D9FCB}"/>
    <cellStyle name="Millares 16" xfId="75" xr:uid="{C94D45F6-1FE7-4097-BA72-B395456528B7}"/>
    <cellStyle name="Millares 17" xfId="80" xr:uid="{C2D5CE2F-F934-41B6-9AB1-94777B34A68A}"/>
    <cellStyle name="Millares 18" xfId="82" xr:uid="{90519D43-C2B2-44B4-92EA-156AF5041D5F}"/>
    <cellStyle name="Millares 19" xfId="84" xr:uid="{D23D0A56-612B-41F8-8311-1BC3AEC86473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3" xfId="104" xr:uid="{3DCF24F5-E14E-4678-9585-ED34AE5479E2}"/>
    <cellStyle name="Millares 20" xfId="89" xr:uid="{32AC816D-2D22-4B3F-B120-5A2F123CE6A3}"/>
    <cellStyle name="Millares 21" xfId="92" xr:uid="{029046C6-9E24-4CD4-9025-FE3E564C082F}"/>
    <cellStyle name="Millares 22" xfId="94" xr:uid="{B19C83B2-C254-4128-B5FF-6DEA0DCB56A1}"/>
    <cellStyle name="Millares 23" xfId="97" xr:uid="{CC0BE51A-DE50-4486-B47A-9582AFCAD003}"/>
    <cellStyle name="Millares 24" xfId="99" xr:uid="{D69E24A2-9B29-47B7-BFB5-34D2E9D7B2B0}"/>
    <cellStyle name="Millares 25" xfId="101" xr:uid="{5F6854C2-801E-4A89-865C-FCACEDA07700}"/>
    <cellStyle name="Millares 26" xfId="103" xr:uid="{610A5C84-8C79-46B9-89B4-A85C95CC0A78}"/>
    <cellStyle name="Millares 3" xfId="7" xr:uid="{00000000-0005-0000-0000-000006000000}"/>
    <cellStyle name="Millares 3 2" xfId="8" xr:uid="{00000000-0005-0000-0000-000007000000}"/>
    <cellStyle name="Millares 3 3" xfId="49" xr:uid="{2162B24E-46A6-41C2-9F5E-146B52AC2F23}"/>
    <cellStyle name="Millares 4" xfId="9" xr:uid="{00000000-0005-0000-0000-000008000000}"/>
    <cellStyle name="Millares 4 2" xfId="50" xr:uid="{437B2D42-4C88-43BF-8725-9B2E20FF7969}"/>
    <cellStyle name="Millares 5" xfId="10" xr:uid="{00000000-0005-0000-0000-000009000000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ormal" xfId="0" builtinId="0"/>
    <cellStyle name="Normal 10" xfId="34" xr:uid="{E04F89B1-EF61-4914-BE1D-A1E329EE39E7}"/>
    <cellStyle name="Normal 10 2" xfId="55" xr:uid="{31BCE0C6-972A-4667-9990-B6DD85AF5F9E}"/>
    <cellStyle name="Normal 11" xfId="36" xr:uid="{EDB1C418-3321-4737-AC24-AF2AE5DB851E}"/>
    <cellStyle name="Normal 11 2" xfId="57" xr:uid="{ABF60EF6-76F1-4CE3-920E-B0175DBB6D30}"/>
    <cellStyle name="Normal 12" xfId="38" xr:uid="{6474D8C7-2DE9-49EB-82E3-C4D36D311CBE}"/>
    <cellStyle name="Normal 12 2" xfId="59" xr:uid="{B39D459C-660D-4F5A-9CCF-1B574A7D9334}"/>
    <cellStyle name="Normal 13" xfId="40" xr:uid="{1E46AC84-C99B-4EA2-A02F-EF8081FE2A6C}"/>
    <cellStyle name="Normal 13 2" xfId="61" xr:uid="{980C3498-99E5-4F3F-B153-D8B4E7EAE751}"/>
    <cellStyle name="Normal 14" xfId="42" xr:uid="{0CFDF507-0FDD-48B5-BC4C-838E0110546E}"/>
    <cellStyle name="Normal 14 2" xfId="63" xr:uid="{18FC5DC5-5304-4BA6-A817-CB2AA992D259}"/>
    <cellStyle name="Normal 15" xfId="44" xr:uid="{A0636C0B-2857-4AAB-A8CE-C0860B85E462}"/>
    <cellStyle name="Normal 16" xfId="46" xr:uid="{1F52BDE2-3493-4F96-BBE2-BE15ECA121ED}"/>
    <cellStyle name="Normal 17" xfId="65" xr:uid="{38455323-2778-4DD5-B70E-091ABDBA667A}"/>
    <cellStyle name="Normal 18" xfId="67" xr:uid="{A3D0F39C-7CD5-43D5-AE02-F71CBA12128D}"/>
    <cellStyle name="Normal 19" xfId="68" xr:uid="{722C0F25-6439-46AA-8C11-7AAC6575BF45}"/>
    <cellStyle name="Normal 2" xfId="18" xr:uid="{00000000-0005-0000-0000-000012000000}"/>
    <cellStyle name="Normal 2 2" xfId="19" xr:uid="{00000000-0005-0000-0000-000013000000}"/>
    <cellStyle name="Normal 2 3" xfId="52" xr:uid="{25F5EF07-2880-40AF-8031-4324C2E75C6D}"/>
    <cellStyle name="Normal 20" xfId="69" xr:uid="{0A3EA1A7-17CE-4475-ABA9-1EC22DEC391E}"/>
    <cellStyle name="Normal 21" xfId="70" xr:uid="{D7D0A16A-D249-4DF2-914B-FCA6C7BF012C}"/>
    <cellStyle name="Normal 22" xfId="72" xr:uid="{69E254AD-17B2-4EDB-B4CB-4D5C4AD004E9}"/>
    <cellStyle name="Normal 23" xfId="73" xr:uid="{02E882ED-F88D-4E72-9581-5A9200992F0F}"/>
    <cellStyle name="Normal 24" xfId="74" xr:uid="{8386891C-F52F-4869-A770-8B835B4D1B16}"/>
    <cellStyle name="Normal 25" xfId="76" xr:uid="{92FF0303-4385-4E5D-AE26-32251776F3A4}"/>
    <cellStyle name="Normal 26" xfId="77" xr:uid="{2D57C5A9-25B9-443B-BA72-CD910F4A207A}"/>
    <cellStyle name="Normal 27" xfId="78" xr:uid="{91279FDA-5433-41C2-93E4-0474D4606355}"/>
    <cellStyle name="Normal 28" xfId="79" xr:uid="{68164A4A-D04E-4667-B4B4-078940DE8E98}"/>
    <cellStyle name="Normal 29" xfId="81" xr:uid="{6026E065-E7F9-4C95-9CC2-456E0C3874E4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1" xfId="85" xr:uid="{4A1A3462-277F-4DF6-9BBE-0E60A1466CFB}"/>
    <cellStyle name="Normal 32" xfId="86" xr:uid="{503FCC98-F518-4BD9-AED2-608C30B091E7}"/>
    <cellStyle name="Normal 33" xfId="87" xr:uid="{6EA8695C-63B1-4B22-A082-F5B8A22DBB5C}"/>
    <cellStyle name="Normal 34" xfId="88" xr:uid="{E2E5EE60-DB31-4290-AE8B-EC5DB86E2DE8}"/>
    <cellStyle name="Normal 35" xfId="90" xr:uid="{729209BA-35F8-446F-A2D1-0AE9AEF0BCF5}"/>
    <cellStyle name="Normal 36" xfId="91" xr:uid="{031C6E6E-778B-445C-B89E-90D9FAF085BF}"/>
    <cellStyle name="Normal 37" xfId="93" xr:uid="{B59A7B26-31F7-4E1C-9E0E-18D4F41BC1B6}"/>
    <cellStyle name="Normal 38" xfId="95" xr:uid="{3A9D785D-F97E-4FD7-B11B-B6DC1E1C7132}"/>
    <cellStyle name="Normal 39" xfId="96" xr:uid="{AF4E2B33-5F45-42A9-8363-E693C4492C9A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1" xfId="100" xr:uid="{91F0F732-DB2A-469E-BAA1-E0A229B5C1F6}"/>
    <cellStyle name="Normal 42" xfId="102" xr:uid="{E947A599-837B-4EAD-87AD-778208F2439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9" xfId="27" xr:uid="{00000000-0005-0000-0000-00001B000000}"/>
    <cellStyle name="Normal 9 2" xfId="28" xr:uid="{00000000-0005-0000-0000-00001C000000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3" xfId="64" xr:uid="{7BCF2219-F659-4C58-8683-05B7FA979DE7}"/>
    <cellStyle name="Título 4" xfId="32" xr:uid="{00000000-0005-0000-0000-000020000000}"/>
    <cellStyle name="Total" xfId="33" builtinId="25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2971800</xdr:colOff>
      <xdr:row>4</xdr:row>
      <xdr:rowOff>47625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97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685511</xdr:colOff>
      <xdr:row>54</xdr:row>
      <xdr:rowOff>108047</xdr:rowOff>
    </xdr:from>
    <xdr:to>
      <xdr:col>0</xdr:col>
      <xdr:colOff>2868068</xdr:colOff>
      <xdr:row>54</xdr:row>
      <xdr:rowOff>126337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511" y="1145338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332991</xdr:colOff>
      <xdr:row>60</xdr:row>
      <xdr:rowOff>162791</xdr:rowOff>
    </xdr:from>
    <xdr:to>
      <xdr:col>2</xdr:col>
      <xdr:colOff>1848798</xdr:colOff>
      <xdr:row>60</xdr:row>
      <xdr:rowOff>181081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4908" y="12725208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672041</xdr:colOff>
      <xdr:row>54</xdr:row>
      <xdr:rowOff>122767</xdr:rowOff>
    </xdr:from>
    <xdr:to>
      <xdr:col>4</xdr:col>
      <xdr:colOff>886099</xdr:colOff>
      <xdr:row>54</xdr:row>
      <xdr:rowOff>141057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4EC188-DC06-467F-984C-E5D2A46B2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5708" y="11468100"/>
          <a:ext cx="2171974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1562100</xdr:colOff>
      <xdr:row>1</xdr:row>
      <xdr:rowOff>209550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2162175</xdr:colOff>
      <xdr:row>2</xdr:row>
      <xdr:rowOff>9525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2124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76201</xdr:rowOff>
    </xdr:from>
    <xdr:to>
      <xdr:col>1</xdr:col>
      <xdr:colOff>1809750</xdr:colOff>
      <xdr:row>2</xdr:row>
      <xdr:rowOff>27380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76201"/>
          <a:ext cx="1724024" cy="579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1</xdr:col>
      <xdr:colOff>2038350</xdr:colOff>
      <xdr:row>2</xdr:row>
      <xdr:rowOff>0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57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135082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114300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152400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159808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44</xdr:row>
      <xdr:rowOff>148167</xdr:rowOff>
    </xdr:from>
    <xdr:to>
      <xdr:col>0</xdr:col>
      <xdr:colOff>2690557</xdr:colOff>
      <xdr:row>44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412750</xdr:colOff>
      <xdr:row>44</xdr:row>
      <xdr:rowOff>148166</xdr:rowOff>
    </xdr:from>
    <xdr:to>
      <xdr:col>4</xdr:col>
      <xdr:colOff>849057</xdr:colOff>
      <xdr:row>44</xdr:row>
      <xdr:rowOff>166456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0833" y="9112249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78317</xdr:colOff>
      <xdr:row>50</xdr:row>
      <xdr:rowOff>152399</xdr:rowOff>
    </xdr:from>
    <xdr:to>
      <xdr:col>2</xdr:col>
      <xdr:colOff>1562374</xdr:colOff>
      <xdr:row>50</xdr:row>
      <xdr:rowOff>170689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8650" y="102594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4</xdr:row>
      <xdr:rowOff>28575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1981200</xdr:colOff>
      <xdr:row>1</xdr:row>
      <xdr:rowOff>200025</xdr:rowOff>
    </xdr:to>
    <xdr:pic>
      <xdr:nvPicPr>
        <xdr:cNvPr id="112133" name="Imagen 10">
          <a:extLst>
            <a:ext uri="{FF2B5EF4-FFF2-40B4-BE49-F238E27FC236}">
              <a16:creationId xmlns:a16="http://schemas.microsoft.com/office/drawing/2014/main" id="{038AD5BE-7843-AF9D-E79E-D66DDA21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819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1</xdr:row>
      <xdr:rowOff>95250</xdr:rowOff>
    </xdr:from>
    <xdr:to>
      <xdr:col>1</xdr:col>
      <xdr:colOff>1790701</xdr:colOff>
      <xdr:row>4</xdr:row>
      <xdr:rowOff>72166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1" y="257175"/>
          <a:ext cx="1962150" cy="462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108663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64559</xdr:colOff>
      <xdr:row>31</xdr:row>
      <xdr:rowOff>118534</xdr:rowOff>
    </xdr:from>
    <xdr:to>
      <xdr:col>1</xdr:col>
      <xdr:colOff>1883834</xdr:colOff>
      <xdr:row>32</xdr:row>
      <xdr:rowOff>267759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422BA19-CA8B-83F5-E3E2-132D51AB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392" y="9791701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96310</xdr:colOff>
      <xdr:row>67</xdr:row>
      <xdr:rowOff>115359</xdr:rowOff>
    </xdr:from>
    <xdr:ext cx="1819275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E08C6E16-7497-4A44-9154-035931D8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43" y="20403609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43394</xdr:colOff>
      <xdr:row>97</xdr:row>
      <xdr:rowOff>189442</xdr:rowOff>
    </xdr:from>
    <xdr:ext cx="1819275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38C69AD4-D7B8-493F-99AC-A041B002F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7" y="32479192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138643</xdr:colOff>
      <xdr:row>31</xdr:row>
      <xdr:rowOff>254001</xdr:rowOff>
    </xdr:from>
    <xdr:ext cx="1819275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43" y="9863668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101600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962660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1499784</xdr:colOff>
      <xdr:row>2</xdr:row>
      <xdr:rowOff>140252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76B3E1-55A2-4C8E-9E64-EA4293BC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76726" cy="51717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9526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</xdr:colOff>
      <xdr:row>0</xdr:row>
      <xdr:rowOff>178593</xdr:rowOff>
    </xdr:from>
    <xdr:to>
      <xdr:col>1</xdr:col>
      <xdr:colOff>3540918</xdr:colOff>
      <xdr:row>4</xdr:row>
      <xdr:rowOff>93085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3" y="178593"/>
          <a:ext cx="3479006" cy="724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222250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475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44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3071813</xdr:colOff>
      <xdr:row>2</xdr:row>
      <xdr:rowOff>193810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128588</xdr:rowOff>
    </xdr:from>
    <xdr:to>
      <xdr:col>2</xdr:col>
      <xdr:colOff>261937</xdr:colOff>
      <xdr:row>3</xdr:row>
      <xdr:rowOff>159544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28588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1</xdr:col>
      <xdr:colOff>2115608</xdr:colOff>
      <xdr:row>2</xdr:row>
      <xdr:rowOff>57150</xdr:rowOff>
    </xdr:to>
    <xdr:pic>
      <xdr:nvPicPr>
        <xdr:cNvPr id="102966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2286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6:M89"/>
  <sheetViews>
    <sheetView tabSelected="1" zoomScale="90" zoomScaleNormal="90" workbookViewId="0">
      <selection activeCell="H39" sqref="H39"/>
    </sheetView>
  </sheetViews>
  <sheetFormatPr baseColWidth="10" defaultColWidth="9.140625" defaultRowHeight="15.75" x14ac:dyDescent="0.25"/>
  <cols>
    <col min="1" max="1" width="52.140625" style="1" customWidth="1"/>
    <col min="2" max="2" width="10" style="1" customWidth="1"/>
    <col min="3" max="3" width="28.5703125" style="2" bestFit="1" customWidth="1"/>
    <col min="4" max="4" width="29.42578125" style="2" bestFit="1" customWidth="1"/>
    <col min="5" max="5" width="25" style="2" customWidth="1"/>
    <col min="6" max="6" width="21.42578125" style="2" customWidth="1"/>
    <col min="7" max="7" width="18.28515625" style="3" customWidth="1"/>
    <col min="8" max="8" width="21.42578125" style="1" bestFit="1" customWidth="1"/>
    <col min="9" max="9" width="18.42578125" style="1" bestFit="1" customWidth="1"/>
    <col min="10" max="12" width="9.140625" style="1" customWidth="1"/>
    <col min="13" max="13" width="19.140625" style="1" bestFit="1" customWidth="1"/>
    <col min="14" max="16384" width="9.140625" style="1"/>
  </cols>
  <sheetData>
    <row r="6" spans="1:8" x14ac:dyDescent="0.25">
      <c r="A6" s="1" t="s">
        <v>0</v>
      </c>
    </row>
    <row r="7" spans="1:8" s="7" customFormat="1" ht="19.899999999999999" customHeight="1" x14ac:dyDescent="0.3">
      <c r="A7" s="535" t="s">
        <v>1</v>
      </c>
      <c r="B7" s="535"/>
      <c r="C7" s="535"/>
      <c r="D7" s="535"/>
      <c r="E7" s="535"/>
      <c r="F7" s="5"/>
      <c r="G7" s="6"/>
    </row>
    <row r="8" spans="1:8" s="7" customFormat="1" ht="18.75" x14ac:dyDescent="0.3">
      <c r="A8" s="536" t="s">
        <v>2</v>
      </c>
      <c r="B8" s="536"/>
      <c r="C8" s="536"/>
      <c r="D8" s="536"/>
      <c r="E8" s="536"/>
      <c r="F8" s="5"/>
      <c r="G8" s="6"/>
    </row>
    <row r="9" spans="1:8" s="7" customFormat="1" ht="18.75" x14ac:dyDescent="0.3">
      <c r="A9" s="537" t="s">
        <v>848</v>
      </c>
      <c r="B9" s="537"/>
      <c r="C9" s="537"/>
      <c r="D9" s="537"/>
      <c r="E9" s="537"/>
      <c r="F9" s="8"/>
      <c r="G9" s="6"/>
    </row>
    <row r="10" spans="1:8" s="7" customFormat="1" ht="18.75" x14ac:dyDescent="0.3">
      <c r="A10" s="538" t="s">
        <v>3</v>
      </c>
      <c r="B10" s="538"/>
      <c r="C10" s="538"/>
      <c r="D10" s="538"/>
      <c r="E10" s="538"/>
      <c r="F10" s="5"/>
      <c r="G10" s="6"/>
    </row>
    <row r="11" spans="1:8" s="7" customFormat="1" ht="18.75" x14ac:dyDescent="0.3">
      <c r="A11" s="10"/>
      <c r="B11" s="10"/>
      <c r="C11" s="10"/>
      <c r="D11" s="10"/>
      <c r="E11" s="11"/>
      <c r="F11" s="11"/>
      <c r="G11" s="6"/>
    </row>
    <row r="12" spans="1:8" s="7" customFormat="1" ht="18.75" x14ac:dyDescent="0.3">
      <c r="C12" s="11"/>
      <c r="D12" s="11"/>
      <c r="E12" s="11"/>
      <c r="F12" s="11"/>
      <c r="G12" s="6"/>
    </row>
    <row r="13" spans="1:8" s="12" customFormat="1" ht="24.75" customHeight="1" x14ac:dyDescent="0.2">
      <c r="B13" s="13" t="s">
        <v>4</v>
      </c>
      <c r="C13" s="13" t="s">
        <v>5</v>
      </c>
      <c r="D13" s="13" t="s">
        <v>6</v>
      </c>
      <c r="E13" s="13" t="s">
        <v>7</v>
      </c>
      <c r="F13" s="14"/>
      <c r="G13" s="15"/>
    </row>
    <row r="14" spans="1:8" x14ac:dyDescent="0.25">
      <c r="A14" s="16" t="s">
        <v>8</v>
      </c>
      <c r="B14" s="16"/>
      <c r="C14" s="17"/>
      <c r="D14" s="17"/>
      <c r="E14" s="17"/>
      <c r="F14" s="17"/>
      <c r="G14" s="18"/>
    </row>
    <row r="15" spans="1:8" x14ac:dyDescent="0.25">
      <c r="A15" s="289" t="s">
        <v>9</v>
      </c>
      <c r="B15" s="289"/>
      <c r="C15" s="17"/>
      <c r="D15" s="17"/>
      <c r="E15" s="17"/>
      <c r="F15" s="17"/>
      <c r="G15" s="17"/>
    </row>
    <row r="16" spans="1:8" x14ac:dyDescent="0.25">
      <c r="A16" s="1" t="s">
        <v>10</v>
      </c>
      <c r="B16" s="19">
        <v>1</v>
      </c>
      <c r="C16" s="462">
        <f>+'A-SITUACION ANEXOS'!D20</f>
        <v>169509268.27149999</v>
      </c>
      <c r="D16" s="462">
        <v>658249162.58050001</v>
      </c>
      <c r="E16" s="462">
        <f>+C16-D16</f>
        <v>-488739894.30900002</v>
      </c>
      <c r="F16" s="17"/>
      <c r="G16" s="17"/>
      <c r="H16" s="20"/>
    </row>
    <row r="17" spans="1:8" x14ac:dyDescent="0.25">
      <c r="A17" s="1" t="s">
        <v>11</v>
      </c>
      <c r="B17" s="19">
        <v>2</v>
      </c>
      <c r="C17" s="462">
        <f>+'A-SITUACION ANEXOS'!D28</f>
        <v>1641890297.2199998</v>
      </c>
      <c r="D17" s="462">
        <v>1626543009.8800001</v>
      </c>
      <c r="E17" s="462">
        <f>+C17-D17</f>
        <v>15347287.339999676</v>
      </c>
      <c r="F17" s="290"/>
      <c r="G17" s="17"/>
      <c r="H17" s="20"/>
    </row>
    <row r="18" spans="1:8" x14ac:dyDescent="0.25">
      <c r="A18" s="1" t="s">
        <v>12</v>
      </c>
      <c r="B18" s="19">
        <v>3</v>
      </c>
      <c r="C18" s="462">
        <f>+'A-SITUACION ANEXOS'!D39</f>
        <v>13729226.34</v>
      </c>
      <c r="D18" s="462">
        <v>26054642.529999997</v>
      </c>
      <c r="E18" s="462">
        <f>+C18-D18</f>
        <v>-12325416.189999998</v>
      </c>
      <c r="F18" s="17"/>
      <c r="G18" s="17"/>
      <c r="H18" s="20"/>
    </row>
    <row r="19" spans="1:8" x14ac:dyDescent="0.25">
      <c r="A19" s="1" t="s">
        <v>13</v>
      </c>
      <c r="B19" s="19">
        <v>4</v>
      </c>
      <c r="C19" s="462">
        <f>+'NOTA 4  INVENTARIO'!C34</f>
        <v>3132737.3999999994</v>
      </c>
      <c r="D19" s="462">
        <v>20219591.060000002</v>
      </c>
      <c r="E19" s="462">
        <f>+C19-D19</f>
        <v>-17086853.660000004</v>
      </c>
      <c r="F19" s="17"/>
      <c r="G19" s="17"/>
      <c r="H19" s="20"/>
    </row>
    <row r="20" spans="1:8" x14ac:dyDescent="0.25">
      <c r="A20" s="1" t="s">
        <v>14</v>
      </c>
      <c r="B20" s="19">
        <v>5</v>
      </c>
      <c r="C20" s="462">
        <f>+'NOTA 5  GPA'!C14</f>
        <v>2889210.2033333331</v>
      </c>
      <c r="D20" s="462">
        <v>2320683.37</v>
      </c>
      <c r="E20" s="462">
        <f>+C20-D20</f>
        <v>568526.83333333302</v>
      </c>
      <c r="F20" s="17"/>
      <c r="G20" s="17"/>
      <c r="H20" s="20"/>
    </row>
    <row r="21" spans="1:8" x14ac:dyDescent="0.25">
      <c r="A21" s="16" t="s">
        <v>15</v>
      </c>
      <c r="B21" s="50"/>
      <c r="C21" s="463">
        <f>SUM(C16:C20)</f>
        <v>1831150739.4348333</v>
      </c>
      <c r="D21" s="463">
        <f>SUM(D16:D20)</f>
        <v>2333387089.4205003</v>
      </c>
      <c r="E21" s="463">
        <f>SUM(E16:E20)</f>
        <v>-502236349.98566705</v>
      </c>
      <c r="F21" s="17"/>
      <c r="G21" s="1"/>
      <c r="H21" s="20"/>
    </row>
    <row r="22" spans="1:8" x14ac:dyDescent="0.25">
      <c r="B22" s="19"/>
      <c r="C22" s="462"/>
      <c r="D22" s="462"/>
      <c r="E22" s="462"/>
      <c r="F22" s="453"/>
      <c r="G22" s="20"/>
      <c r="H22" s="20"/>
    </row>
    <row r="23" spans="1:8" x14ac:dyDescent="0.25">
      <c r="A23" s="289" t="s">
        <v>16</v>
      </c>
      <c r="B23" s="291"/>
      <c r="C23" s="462"/>
      <c r="D23" s="462"/>
      <c r="E23" s="462"/>
      <c r="F23" s="453"/>
      <c r="G23" s="1"/>
      <c r="H23" s="20"/>
    </row>
    <row r="24" spans="1:8" x14ac:dyDescent="0.25">
      <c r="A24" s="1" t="s">
        <v>17</v>
      </c>
      <c r="B24" s="19">
        <v>6</v>
      </c>
      <c r="C24" s="464">
        <f>+'A-SITUACION ANEXOS'!D96</f>
        <v>14788044725.400002</v>
      </c>
      <c r="D24" s="464">
        <v>12326389452.400002</v>
      </c>
      <c r="E24" s="464">
        <f>C24-D24</f>
        <v>2461655273</v>
      </c>
      <c r="F24" s="453"/>
      <c r="G24" s="17"/>
      <c r="H24" s="20"/>
    </row>
    <row r="25" spans="1:8" x14ac:dyDescent="0.25">
      <c r="A25" s="1" t="s">
        <v>18</v>
      </c>
      <c r="B25" s="19">
        <v>7</v>
      </c>
      <c r="C25" s="464">
        <f>+'A-SITUACION ANEXOS'!D104</f>
        <v>1636656800</v>
      </c>
      <c r="D25" s="465">
        <v>1486656800</v>
      </c>
      <c r="E25" s="465">
        <f>C25-D25</f>
        <v>150000000</v>
      </c>
      <c r="G25" s="39"/>
      <c r="H25" s="20"/>
    </row>
    <row r="26" spans="1:8" x14ac:dyDescent="0.25">
      <c r="A26" s="1" t="s">
        <v>19</v>
      </c>
      <c r="B26" s="19">
        <v>8</v>
      </c>
      <c r="C26" s="466">
        <f>+'NOTA 8-MOBILIARIO Y EQUIPOS, NE'!J26</f>
        <v>22301946.710000023</v>
      </c>
      <c r="D26" s="467">
        <v>22961485.120000005</v>
      </c>
      <c r="E26" s="467">
        <f>C26-D26</f>
        <v>-659538.40999998152</v>
      </c>
      <c r="F26" s="39"/>
      <c r="G26" s="20"/>
      <c r="H26" s="20"/>
    </row>
    <row r="27" spans="1:8" x14ac:dyDescent="0.25">
      <c r="A27" s="16" t="s">
        <v>20</v>
      </c>
      <c r="B27" s="19"/>
      <c r="C27" s="468">
        <f>SUM(C24:C26)</f>
        <v>16447003472.110001</v>
      </c>
      <c r="D27" s="469">
        <f>SUM(D24:D26)</f>
        <v>13836007737.520002</v>
      </c>
      <c r="E27" s="469">
        <f>SUM(E24:E26)</f>
        <v>2610995734.5900002</v>
      </c>
      <c r="F27" s="39"/>
      <c r="G27" s="20"/>
      <c r="H27" s="20"/>
    </row>
    <row r="28" spans="1:8" x14ac:dyDescent="0.25">
      <c r="B28" s="19"/>
      <c r="C28" s="462"/>
      <c r="D28" s="470"/>
      <c r="E28" s="470"/>
      <c r="F28" s="454"/>
      <c r="G28" s="20"/>
      <c r="H28" s="20"/>
    </row>
    <row r="29" spans="1:8" ht="22.15" customHeight="1" thickBot="1" x14ac:dyDescent="0.3">
      <c r="A29" s="16" t="s">
        <v>21</v>
      </c>
      <c r="B29" s="50"/>
      <c r="C29" s="471">
        <f>C21+C27</f>
        <v>18278154211.544834</v>
      </c>
      <c r="D29" s="472">
        <f>D21+D27</f>
        <v>16169394826.940502</v>
      </c>
      <c r="E29" s="472">
        <f>+C29-D29</f>
        <v>2108759384.604332</v>
      </c>
      <c r="F29" s="39"/>
      <c r="G29" s="39"/>
      <c r="H29" s="20"/>
    </row>
    <row r="30" spans="1:8" ht="17.25" customHeight="1" thickTop="1" x14ac:dyDescent="0.25">
      <c r="B30" s="19"/>
      <c r="C30" s="462"/>
      <c r="D30" s="470"/>
      <c r="E30" s="470"/>
      <c r="F30" s="39"/>
      <c r="G30" s="39"/>
      <c r="H30" s="20"/>
    </row>
    <row r="31" spans="1:8" x14ac:dyDescent="0.25">
      <c r="A31" s="16" t="s">
        <v>22</v>
      </c>
      <c r="B31" s="50"/>
      <c r="C31" s="462"/>
      <c r="D31" s="470"/>
      <c r="E31" s="470"/>
      <c r="F31" s="39"/>
      <c r="G31" s="39"/>
      <c r="H31" s="20"/>
    </row>
    <row r="32" spans="1:8" x14ac:dyDescent="0.25">
      <c r="A32" s="289" t="s">
        <v>9</v>
      </c>
      <c r="B32" s="291"/>
      <c r="C32" s="462"/>
      <c r="D32" s="470"/>
      <c r="E32" s="470"/>
      <c r="F32" s="39"/>
      <c r="G32" s="39"/>
      <c r="H32" s="20"/>
    </row>
    <row r="33" spans="1:9" x14ac:dyDescent="0.25">
      <c r="A33" s="1" t="s">
        <v>23</v>
      </c>
      <c r="B33" s="19">
        <v>9</v>
      </c>
      <c r="C33" s="462">
        <f>+'A-SITUACION ANEXOS'!D129</f>
        <v>6206586.5199999996</v>
      </c>
      <c r="D33" s="470">
        <v>17995738.220000003</v>
      </c>
      <c r="E33" s="465">
        <f>+C33-D33</f>
        <v>-11789151.700000003</v>
      </c>
      <c r="F33" s="39"/>
      <c r="G33" s="39"/>
      <c r="H33" s="52"/>
      <c r="I33" s="2"/>
    </row>
    <row r="34" spans="1:9" x14ac:dyDescent="0.25">
      <c r="A34" s="1" t="s">
        <v>24</v>
      </c>
      <c r="B34" s="19">
        <v>10</v>
      </c>
      <c r="C34" s="462">
        <f>+'A-SITUACION ANEXOS'!D136</f>
        <v>3941.73</v>
      </c>
      <c r="D34" s="470">
        <v>4720</v>
      </c>
      <c r="E34" s="465">
        <f t="shared" ref="E34:E36" si="0">+C34-D34</f>
        <v>-778.27</v>
      </c>
      <c r="F34" s="39"/>
      <c r="G34" s="39"/>
      <c r="H34" s="52"/>
      <c r="I34" s="2"/>
    </row>
    <row r="35" spans="1:9" x14ac:dyDescent="0.25">
      <c r="A35" s="1" t="s">
        <v>25</v>
      </c>
      <c r="B35" s="19">
        <v>11</v>
      </c>
      <c r="C35" s="462">
        <f>+'A-SITUACION ANEXOS'!D146</f>
        <v>39916315.879999995</v>
      </c>
      <c r="D35" s="470">
        <v>34745283.210000001</v>
      </c>
      <c r="E35" s="465">
        <f t="shared" si="0"/>
        <v>5171032.6699999943</v>
      </c>
      <c r="F35" s="39"/>
      <c r="G35" s="39"/>
      <c r="H35" s="52"/>
      <c r="I35" s="2"/>
    </row>
    <row r="36" spans="1:9" x14ac:dyDescent="0.25">
      <c r="A36" s="1" t="s">
        <v>26</v>
      </c>
      <c r="B36" s="19">
        <v>12</v>
      </c>
      <c r="C36" s="470">
        <f>+'NOTA 12-RETENCIONES X PAGAR'!B15</f>
        <v>1853021.91</v>
      </c>
      <c r="D36" s="470">
        <v>2123868.1300000004</v>
      </c>
      <c r="E36" s="465">
        <f t="shared" si="0"/>
        <v>-270846.22000000044</v>
      </c>
      <c r="F36" s="39"/>
      <c r="G36" s="39"/>
      <c r="H36" s="52"/>
      <c r="I36" s="2"/>
    </row>
    <row r="37" spans="1:9" x14ac:dyDescent="0.25">
      <c r="A37" s="1" t="s">
        <v>27</v>
      </c>
      <c r="B37" s="19">
        <v>13</v>
      </c>
      <c r="C37" s="466">
        <f>+'A-SITUACION ANEXOS'!D162</f>
        <v>53801721.299999997</v>
      </c>
      <c r="D37" s="467">
        <v>50702581.969999999</v>
      </c>
      <c r="E37" s="467">
        <f>+C37-D37</f>
        <v>3099139.3299999982</v>
      </c>
      <c r="F37" s="39"/>
      <c r="G37" s="39"/>
      <c r="H37" s="52"/>
      <c r="I37" s="2"/>
    </row>
    <row r="38" spans="1:9" x14ac:dyDescent="0.25">
      <c r="A38" s="16" t="s">
        <v>28</v>
      </c>
      <c r="B38" s="50"/>
      <c r="C38" s="468">
        <f>SUM(C33:C37)-0</f>
        <v>101781587.33999999</v>
      </c>
      <c r="D38" s="469">
        <f>SUM(D33:D37)</f>
        <v>105572191.53</v>
      </c>
      <c r="E38" s="469">
        <f>SUM(E33:E37)</f>
        <v>-3790604.1900000107</v>
      </c>
      <c r="F38" s="39"/>
      <c r="G38" s="39"/>
      <c r="H38" s="52"/>
      <c r="I38" s="2"/>
    </row>
    <row r="39" spans="1:9" x14ac:dyDescent="0.25">
      <c r="B39" s="19"/>
      <c r="C39" s="462"/>
      <c r="D39" s="470"/>
      <c r="E39" s="465"/>
      <c r="F39" s="39"/>
      <c r="G39" s="39"/>
      <c r="H39" s="52"/>
      <c r="I39" s="2"/>
    </row>
    <row r="40" spans="1:9" x14ac:dyDescent="0.25">
      <c r="B40" s="19"/>
      <c r="C40" s="462"/>
      <c r="D40" s="470"/>
      <c r="E40" s="465"/>
      <c r="F40" s="454"/>
      <c r="G40" s="39"/>
      <c r="H40" s="52"/>
      <c r="I40" s="2"/>
    </row>
    <row r="41" spans="1:9" x14ac:dyDescent="0.25">
      <c r="A41" s="16" t="s">
        <v>29</v>
      </c>
      <c r="B41" s="50"/>
      <c r="C41" s="468">
        <f>C38</f>
        <v>101781587.33999999</v>
      </c>
      <c r="D41" s="469">
        <f>D38</f>
        <v>105572191.53</v>
      </c>
      <c r="E41" s="469">
        <f>E38</f>
        <v>-3790604.1900000107</v>
      </c>
      <c r="F41" s="454"/>
      <c r="G41" s="39"/>
      <c r="H41" s="52"/>
      <c r="I41" s="2"/>
    </row>
    <row r="42" spans="1:9" x14ac:dyDescent="0.25">
      <c r="B42" s="19"/>
      <c r="C42" s="462"/>
      <c r="D42" s="470"/>
      <c r="E42" s="470"/>
      <c r="F42" s="454"/>
      <c r="G42" s="1"/>
      <c r="H42" s="20"/>
    </row>
    <row r="43" spans="1:9" x14ac:dyDescent="0.25">
      <c r="A43" s="16" t="s">
        <v>30</v>
      </c>
      <c r="B43" s="50"/>
      <c r="C43" s="462"/>
      <c r="D43" s="470"/>
      <c r="E43" s="465"/>
      <c r="F43" s="454"/>
      <c r="G43" s="1"/>
      <c r="H43" s="20"/>
    </row>
    <row r="44" spans="1:9" x14ac:dyDescent="0.25">
      <c r="A44" s="1" t="s">
        <v>31</v>
      </c>
      <c r="B44" s="19">
        <v>14</v>
      </c>
      <c r="C44" s="462">
        <f>+'NOTA 14-CAPITAL'!F25</f>
        <v>16239082100</v>
      </c>
      <c r="D44" s="462">
        <v>16239082100</v>
      </c>
      <c r="E44" s="464">
        <f>+C44-D44</f>
        <v>0</v>
      </c>
      <c r="F44" s="454"/>
      <c r="G44" s="20"/>
      <c r="H44" s="20"/>
    </row>
    <row r="45" spans="1:9" x14ac:dyDescent="0.25">
      <c r="A45" s="1" t="s">
        <v>32</v>
      </c>
      <c r="B45" s="19"/>
      <c r="C45" s="462">
        <v>278849081.56</v>
      </c>
      <c r="D45" s="462">
        <v>278849081.56</v>
      </c>
      <c r="E45" s="462">
        <f>+C45-D45</f>
        <v>0</v>
      </c>
      <c r="F45" s="454"/>
      <c r="G45" s="20"/>
      <c r="H45" s="20"/>
    </row>
    <row r="46" spans="1:9" x14ac:dyDescent="0.25">
      <c r="A46" s="1" t="s">
        <v>33</v>
      </c>
      <c r="B46" s="19"/>
      <c r="C46" s="466">
        <f>+'Estado de Resultados'!C37</f>
        <v>1658441442.6399999</v>
      </c>
      <c r="D46" s="466">
        <v>-454108546.14999998</v>
      </c>
      <c r="E46" s="466">
        <f>+C46-D46</f>
        <v>2112549988.79</v>
      </c>
      <c r="F46" s="454"/>
      <c r="G46" s="1"/>
      <c r="H46" s="20"/>
    </row>
    <row r="47" spans="1:9" x14ac:dyDescent="0.25">
      <c r="B47" s="19"/>
      <c r="C47" s="462"/>
      <c r="D47" s="462"/>
      <c r="E47" s="462"/>
      <c r="F47" s="453"/>
      <c r="G47" s="1"/>
      <c r="H47" s="20"/>
    </row>
    <row r="48" spans="1:9" x14ac:dyDescent="0.25">
      <c r="A48" s="16" t="s">
        <v>34</v>
      </c>
      <c r="B48" s="50"/>
      <c r="C48" s="468">
        <f>SUM(C44:C46)</f>
        <v>18176372624.200001</v>
      </c>
      <c r="D48" s="468">
        <f>SUM(D44:D46)</f>
        <v>16063822635.41</v>
      </c>
      <c r="E48" s="468">
        <f>SUM(E44:E46)</f>
        <v>2112549988.79</v>
      </c>
      <c r="F48" s="453"/>
      <c r="G48" s="20"/>
      <c r="H48" s="20"/>
      <c r="I48" s="20"/>
    </row>
    <row r="49" spans="1:13" ht="11.25" customHeight="1" x14ac:dyDescent="0.25">
      <c r="B49" s="19"/>
      <c r="C49" s="462"/>
      <c r="D49" s="462"/>
      <c r="E49" s="462"/>
      <c r="F49" s="453"/>
      <c r="G49" s="1"/>
      <c r="H49" s="20"/>
    </row>
    <row r="50" spans="1:13" ht="21" customHeight="1" thickBot="1" x14ac:dyDescent="0.3">
      <c r="A50" s="16" t="s">
        <v>35</v>
      </c>
      <c r="B50" s="50"/>
      <c r="C50" s="471">
        <f>+C41+C48</f>
        <v>18278154211.540001</v>
      </c>
      <c r="D50" s="471">
        <f>+D41+D48</f>
        <v>16169394826.940001</v>
      </c>
      <c r="E50" s="472">
        <f>+C50-D50-0</f>
        <v>2108759384.6000004</v>
      </c>
      <c r="F50" s="453"/>
      <c r="G50" s="20"/>
      <c r="H50" s="20"/>
    </row>
    <row r="51" spans="1:13" ht="16.5" thickTop="1" x14ac:dyDescent="0.25">
      <c r="B51" s="25"/>
      <c r="C51" s="473">
        <f>+C29-C50</f>
        <v>4.833221435546875E-3</v>
      </c>
      <c r="D51" s="473">
        <f>+D29-D50</f>
        <v>5.016326904296875E-4</v>
      </c>
      <c r="E51" s="473">
        <f>+E29-E50</f>
        <v>4.3315887451171875E-3</v>
      </c>
      <c r="F51" s="453"/>
      <c r="G51" s="1"/>
      <c r="H51" s="20"/>
      <c r="M51" s="17"/>
    </row>
    <row r="52" spans="1:13" x14ac:dyDescent="0.25">
      <c r="B52" s="19"/>
      <c r="C52" s="455"/>
      <c r="D52" s="474"/>
      <c r="E52" s="474"/>
      <c r="F52" s="453"/>
      <c r="G52" s="1"/>
      <c r="H52" s="20"/>
      <c r="M52" s="2"/>
    </row>
    <row r="53" spans="1:13" ht="30.75" customHeight="1" x14ac:dyDescent="0.25">
      <c r="B53" s="19"/>
      <c r="C53" s="28"/>
      <c r="F53" s="453"/>
      <c r="G53" s="1"/>
      <c r="M53" s="2"/>
    </row>
    <row r="54" spans="1:13" x14ac:dyDescent="0.25">
      <c r="A54" s="24"/>
      <c r="B54" s="358"/>
      <c r="C54" s="456"/>
      <c r="F54" s="453"/>
      <c r="G54" s="1"/>
      <c r="M54" s="2"/>
    </row>
    <row r="55" spans="1:13" ht="15" customHeight="1" x14ac:dyDescent="0.25">
      <c r="A55" s="24"/>
      <c r="B55" s="24"/>
      <c r="G55" s="1"/>
      <c r="M55" s="2"/>
    </row>
    <row r="56" spans="1:13" s="16" customFormat="1" x14ac:dyDescent="0.25">
      <c r="A56" s="261" t="s">
        <v>36</v>
      </c>
      <c r="C56" s="53"/>
      <c r="D56" s="541" t="s">
        <v>37</v>
      </c>
      <c r="E56" s="541"/>
      <c r="F56" s="53"/>
      <c r="H56" s="53"/>
      <c r="M56" s="53"/>
    </row>
    <row r="57" spans="1:13" x14ac:dyDescent="0.25">
      <c r="A57" s="25" t="s">
        <v>38</v>
      </c>
      <c r="B57" s="24"/>
      <c r="D57" s="534" t="s">
        <v>39</v>
      </c>
      <c r="E57" s="534"/>
      <c r="G57" s="1"/>
      <c r="H57" s="2"/>
    </row>
    <row r="58" spans="1:13" x14ac:dyDescent="0.25">
      <c r="A58" s="25"/>
      <c r="B58" s="24"/>
      <c r="G58" s="1"/>
      <c r="H58" s="2"/>
      <c r="M58" s="2"/>
    </row>
    <row r="59" spans="1:13" ht="16.5" customHeight="1" x14ac:dyDescent="0.25">
      <c r="A59" s="24"/>
      <c r="B59" s="24"/>
      <c r="G59" s="1"/>
      <c r="M59" s="20"/>
    </row>
    <row r="60" spans="1:13" ht="16.5" customHeight="1" x14ac:dyDescent="0.25">
      <c r="A60" s="24"/>
      <c r="B60" s="24"/>
      <c r="G60" s="1"/>
      <c r="M60" s="20"/>
    </row>
    <row r="61" spans="1:13" ht="17.25" customHeight="1" x14ac:dyDescent="0.25">
      <c r="G61" s="1"/>
      <c r="M61" s="20"/>
    </row>
    <row r="62" spans="1:13" s="16" customFormat="1" x14ac:dyDescent="0.25">
      <c r="A62" s="539" t="s">
        <v>40</v>
      </c>
      <c r="B62" s="539"/>
      <c r="C62" s="539"/>
      <c r="D62" s="539"/>
      <c r="E62" s="539"/>
      <c r="F62" s="53"/>
    </row>
    <row r="63" spans="1:13" x14ac:dyDescent="0.25">
      <c r="A63" s="540" t="s">
        <v>41</v>
      </c>
      <c r="B63" s="540"/>
      <c r="C63" s="540"/>
      <c r="D63" s="540"/>
      <c r="E63" s="540"/>
      <c r="G63" s="1"/>
    </row>
    <row r="64" spans="1:13" x14ac:dyDescent="0.25">
      <c r="G64" s="1"/>
    </row>
    <row r="65" spans="3:7" x14ac:dyDescent="0.25">
      <c r="G65" s="1"/>
    </row>
    <row r="66" spans="3:7" x14ac:dyDescent="0.25">
      <c r="G66" s="1"/>
    </row>
    <row r="67" spans="3:7" x14ac:dyDescent="0.25">
      <c r="G67" s="1"/>
    </row>
    <row r="68" spans="3:7" x14ac:dyDescent="0.25">
      <c r="G68" s="1"/>
    </row>
    <row r="69" spans="3:7" x14ac:dyDescent="0.25">
      <c r="G69" s="1"/>
    </row>
    <row r="70" spans="3:7" x14ac:dyDescent="0.25">
      <c r="C70" s="1"/>
      <c r="D70" s="534"/>
      <c r="E70" s="534"/>
      <c r="F70" s="534"/>
      <c r="G70" s="534"/>
    </row>
    <row r="71" spans="3:7" x14ac:dyDescent="0.25">
      <c r="C71" s="1"/>
      <c r="G71" s="1"/>
    </row>
    <row r="72" spans="3:7" x14ac:dyDescent="0.25">
      <c r="C72" s="26"/>
      <c r="D72" s="27"/>
      <c r="F72" s="27"/>
      <c r="G72" s="2"/>
    </row>
    <row r="73" spans="3:7" x14ac:dyDescent="0.25">
      <c r="C73" s="26"/>
      <c r="D73" s="27"/>
      <c r="F73" s="27"/>
      <c r="G73" s="2"/>
    </row>
    <row r="74" spans="3:7" x14ac:dyDescent="0.25">
      <c r="C74" s="26"/>
      <c r="D74" s="27"/>
      <c r="F74" s="27"/>
      <c r="G74" s="2"/>
    </row>
    <row r="75" spans="3:7" x14ac:dyDescent="0.25">
      <c r="C75" s="26"/>
      <c r="D75" s="27"/>
      <c r="F75" s="27"/>
      <c r="G75" s="2"/>
    </row>
    <row r="76" spans="3:7" x14ac:dyDescent="0.25">
      <c r="C76" s="26"/>
      <c r="D76" s="27"/>
      <c r="F76" s="27"/>
      <c r="G76" s="2"/>
    </row>
    <row r="77" spans="3:7" x14ac:dyDescent="0.25">
      <c r="C77" s="26"/>
      <c r="D77" s="27"/>
      <c r="F77" s="27"/>
      <c r="G77" s="2"/>
    </row>
    <row r="78" spans="3:7" x14ac:dyDescent="0.25">
      <c r="C78" s="26"/>
      <c r="D78" s="27"/>
      <c r="F78" s="27"/>
      <c r="G78" s="2"/>
    </row>
    <row r="79" spans="3:7" x14ac:dyDescent="0.25">
      <c r="C79" s="26"/>
      <c r="G79" s="2"/>
    </row>
    <row r="80" spans="3:7" x14ac:dyDescent="0.25">
      <c r="C80" s="29"/>
      <c r="G80" s="1"/>
    </row>
    <row r="81" spans="3:7" x14ac:dyDescent="0.25">
      <c r="C81" s="29"/>
      <c r="G81" s="1"/>
    </row>
    <row r="83" spans="3:7" x14ac:dyDescent="0.25">
      <c r="C83" s="30"/>
    </row>
    <row r="84" spans="3:7" x14ac:dyDescent="0.25">
      <c r="C84" s="30"/>
    </row>
    <row r="85" spans="3:7" x14ac:dyDescent="0.25">
      <c r="C85" s="30"/>
    </row>
    <row r="86" spans="3:7" x14ac:dyDescent="0.25">
      <c r="C86" s="30"/>
    </row>
    <row r="87" spans="3:7" x14ac:dyDescent="0.25">
      <c r="C87" s="30"/>
    </row>
    <row r="88" spans="3:7" x14ac:dyDescent="0.25">
      <c r="C88" s="30"/>
    </row>
    <row r="89" spans="3:7" x14ac:dyDescent="0.25">
      <c r="C89" s="30"/>
    </row>
  </sheetData>
  <mergeCells count="10">
    <mergeCell ref="D70:E70"/>
    <mergeCell ref="F70:G70"/>
    <mergeCell ref="A7:E7"/>
    <mergeCell ref="A8:E8"/>
    <mergeCell ref="A9:E9"/>
    <mergeCell ref="A10:E10"/>
    <mergeCell ref="A62:E62"/>
    <mergeCell ref="A63:E63"/>
    <mergeCell ref="D57:E57"/>
    <mergeCell ref="D56:E56"/>
  </mergeCells>
  <phoneticPr fontId="35" type="noConversion"/>
  <printOptions horizontalCentered="1"/>
  <pageMargins left="0.86614173228346458" right="0.86614173228346458" top="0.39370078740157483" bottom="0.19685039370078741" header="0" footer="0"/>
  <pageSetup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8"/>
  <sheetViews>
    <sheetView topLeftCell="A13" zoomScale="110" zoomScaleNormal="110" workbookViewId="0">
      <selection activeCell="G13" sqref="G13"/>
    </sheetView>
  </sheetViews>
  <sheetFormatPr baseColWidth="10" defaultColWidth="11.5703125" defaultRowHeight="24.75" customHeight="1" x14ac:dyDescent="0.25"/>
  <cols>
    <col min="1" max="1" width="4.7109375" style="127" customWidth="1"/>
    <col min="2" max="2" width="14.28515625" style="127" customWidth="1"/>
    <col min="3" max="3" width="16.28515625" style="127" customWidth="1"/>
    <col min="4" max="4" width="45.140625" style="127" bestFit="1" customWidth="1"/>
    <col min="5" max="5" width="18.5703125" style="127" bestFit="1" customWidth="1"/>
    <col min="6" max="6" width="16.42578125" style="127" bestFit="1" customWidth="1"/>
    <col min="7" max="7" width="3.28515625" style="127" customWidth="1"/>
    <col min="8" max="8" width="15.140625" style="127" customWidth="1"/>
    <col min="9" max="9" width="14.5703125" style="127" bestFit="1" customWidth="1"/>
    <col min="10" max="16384" width="11.5703125" style="127"/>
  </cols>
  <sheetData>
    <row r="1" spans="1:8" ht="24.75" customHeight="1" x14ac:dyDescent="0.25">
      <c r="A1" s="1"/>
      <c r="B1" s="1"/>
      <c r="C1" s="1"/>
      <c r="D1" s="1"/>
      <c r="E1" s="2"/>
      <c r="F1" s="1"/>
    </row>
    <row r="2" spans="1:8" ht="24.75" customHeight="1" x14ac:dyDescent="0.25">
      <c r="A2" s="1"/>
      <c r="B2" s="539"/>
      <c r="C2" s="539"/>
      <c r="D2" s="539"/>
      <c r="E2" s="539"/>
      <c r="F2" s="539"/>
    </row>
    <row r="3" spans="1:8" ht="24.75" customHeight="1" x14ac:dyDescent="0.25">
      <c r="A3" s="1"/>
      <c r="B3" s="539" t="s">
        <v>301</v>
      </c>
      <c r="C3" s="539"/>
      <c r="D3" s="539"/>
      <c r="E3" s="539"/>
      <c r="F3" s="539"/>
    </row>
    <row r="4" spans="1:8" ht="24.75" customHeight="1" x14ac:dyDescent="0.25">
      <c r="A4" s="1"/>
      <c r="B4" s="539" t="s">
        <v>280</v>
      </c>
      <c r="C4" s="539"/>
      <c r="D4" s="539"/>
      <c r="E4" s="539"/>
      <c r="F4" s="539"/>
    </row>
    <row r="5" spans="1:8" ht="24.75" customHeight="1" x14ac:dyDescent="0.25">
      <c r="A5" s="1"/>
      <c r="B5" s="539" t="s">
        <v>362</v>
      </c>
      <c r="C5" s="539"/>
      <c r="D5" s="539"/>
      <c r="E5" s="539"/>
      <c r="F5" s="539"/>
    </row>
    <row r="6" spans="1:8" ht="24.75" customHeight="1" x14ac:dyDescent="0.25">
      <c r="A6" s="1"/>
      <c r="B6" s="551">
        <v>45626</v>
      </c>
      <c r="C6" s="551"/>
      <c r="D6" s="551"/>
      <c r="E6" s="551"/>
      <c r="F6" s="551"/>
    </row>
    <row r="7" spans="1:8" ht="24.75" customHeight="1" thickBot="1" x14ac:dyDescent="0.3">
      <c r="A7" s="1"/>
      <c r="B7" s="1"/>
      <c r="C7" s="1"/>
      <c r="D7" s="50"/>
      <c r="E7" s="50"/>
      <c r="F7" s="1"/>
    </row>
    <row r="8" spans="1:8" ht="24.75" customHeight="1" thickBot="1" x14ac:dyDescent="0.3">
      <c r="A8" s="1"/>
      <c r="B8" s="128" t="s">
        <v>363</v>
      </c>
      <c r="C8" s="129" t="s">
        <v>364</v>
      </c>
      <c r="D8" s="74" t="s">
        <v>365</v>
      </c>
      <c r="E8" s="74" t="s">
        <v>366</v>
      </c>
      <c r="F8" s="75" t="s">
        <v>367</v>
      </c>
    </row>
    <row r="9" spans="1:8" ht="24.75" customHeight="1" x14ac:dyDescent="0.25">
      <c r="A9" s="1"/>
      <c r="B9" s="130">
        <v>44042</v>
      </c>
      <c r="C9" s="131">
        <v>36759</v>
      </c>
      <c r="D9" s="62" t="s">
        <v>368</v>
      </c>
      <c r="E9" s="117">
        <v>320878.34000000003</v>
      </c>
      <c r="F9" s="131" t="s">
        <v>369</v>
      </c>
    </row>
    <row r="10" spans="1:8" ht="24.75" customHeight="1" x14ac:dyDescent="0.25">
      <c r="A10" s="1"/>
      <c r="B10" s="132">
        <v>44042</v>
      </c>
      <c r="C10" s="133">
        <v>36760</v>
      </c>
      <c r="D10" s="62" t="s">
        <v>368</v>
      </c>
      <c r="E10" s="92">
        <v>320878.34000000003</v>
      </c>
      <c r="F10" s="133" t="s">
        <v>369</v>
      </c>
    </row>
    <row r="11" spans="1:8" ht="24.75" customHeight="1" x14ac:dyDescent="0.25">
      <c r="A11" s="1"/>
      <c r="B11" s="132">
        <v>44042</v>
      </c>
      <c r="C11" s="133">
        <v>36762</v>
      </c>
      <c r="D11" s="62" t="s">
        <v>368</v>
      </c>
      <c r="E11" s="92">
        <v>261614.87</v>
      </c>
      <c r="F11" s="133" t="s">
        <v>369</v>
      </c>
    </row>
    <row r="12" spans="1:8" ht="24.75" customHeight="1" x14ac:dyDescent="0.25">
      <c r="A12" s="1"/>
      <c r="B12" s="132">
        <v>44042</v>
      </c>
      <c r="C12" s="133">
        <v>36763</v>
      </c>
      <c r="D12" s="62" t="s">
        <v>368</v>
      </c>
      <c r="E12" s="92">
        <v>636759.86</v>
      </c>
      <c r="F12" s="133" t="s">
        <v>369</v>
      </c>
    </row>
    <row r="13" spans="1:8" ht="24.75" customHeight="1" x14ac:dyDescent="0.25">
      <c r="A13" s="1"/>
      <c r="B13" s="132">
        <v>44042</v>
      </c>
      <c r="C13" s="133">
        <v>36765</v>
      </c>
      <c r="D13" s="62" t="s">
        <v>368</v>
      </c>
      <c r="E13" s="92">
        <v>636759.86</v>
      </c>
      <c r="F13" s="133" t="s">
        <v>369</v>
      </c>
    </row>
    <row r="14" spans="1:8" ht="24.75" customHeight="1" x14ac:dyDescent="0.25">
      <c r="A14" s="1"/>
      <c r="B14" s="132">
        <v>44042</v>
      </c>
      <c r="C14" s="133">
        <v>36766</v>
      </c>
      <c r="D14" s="62" t="s">
        <v>368</v>
      </c>
      <c r="E14" s="92">
        <v>282294.27</v>
      </c>
      <c r="F14" s="133" t="s">
        <v>369</v>
      </c>
    </row>
    <row r="15" spans="1:8" ht="24.75" hidden="1" customHeight="1" x14ac:dyDescent="0.25">
      <c r="A15" s="1"/>
      <c r="B15" s="132">
        <v>44894</v>
      </c>
      <c r="C15" s="133">
        <v>38855</v>
      </c>
      <c r="D15" s="62" t="s">
        <v>370</v>
      </c>
      <c r="E15" s="92"/>
      <c r="F15" s="133" t="s">
        <v>369</v>
      </c>
      <c r="H15" s="137">
        <v>5149638</v>
      </c>
    </row>
    <row r="16" spans="1:8" ht="22.5" hidden="1" customHeight="1" x14ac:dyDescent="0.25">
      <c r="A16" s="1"/>
      <c r="B16" s="132">
        <v>45043</v>
      </c>
      <c r="C16" s="133">
        <v>39088</v>
      </c>
      <c r="D16" s="62" t="s">
        <v>371</v>
      </c>
      <c r="E16" s="92"/>
      <c r="F16" s="133" t="s">
        <v>369</v>
      </c>
    </row>
    <row r="17" spans="1:9" ht="22.5" hidden="1" customHeight="1" x14ac:dyDescent="0.25">
      <c r="A17" s="1"/>
      <c r="B17" s="132">
        <v>45049</v>
      </c>
      <c r="C17" s="133">
        <v>39106</v>
      </c>
      <c r="D17" s="62" t="s">
        <v>370</v>
      </c>
      <c r="E17" s="92"/>
      <c r="F17" s="133" t="s">
        <v>369</v>
      </c>
      <c r="H17" s="137">
        <v>7724457</v>
      </c>
    </row>
    <row r="18" spans="1:9" ht="24.75" customHeight="1" x14ac:dyDescent="0.25">
      <c r="A18" s="1"/>
      <c r="B18" s="132">
        <v>45460</v>
      </c>
      <c r="C18" s="133">
        <v>39752</v>
      </c>
      <c r="D18" s="62" t="s">
        <v>372</v>
      </c>
      <c r="E18" s="92">
        <f>330400+660800</f>
        <v>991200</v>
      </c>
      <c r="F18" s="133" t="s">
        <v>369</v>
      </c>
      <c r="H18" s="137"/>
    </row>
    <row r="19" spans="1:9" ht="24.75" customHeight="1" x14ac:dyDescent="0.25">
      <c r="A19" s="1"/>
      <c r="B19" s="132">
        <v>45561</v>
      </c>
      <c r="C19" s="133">
        <v>39875</v>
      </c>
      <c r="D19" s="62" t="s">
        <v>373</v>
      </c>
      <c r="E19" s="92">
        <v>296100</v>
      </c>
      <c r="F19" s="133" t="s">
        <v>369</v>
      </c>
      <c r="H19" s="137"/>
    </row>
    <row r="20" spans="1:9" ht="24.75" customHeight="1" x14ac:dyDescent="0.25">
      <c r="A20" s="1"/>
      <c r="B20" s="132">
        <v>45603</v>
      </c>
      <c r="C20" s="133">
        <v>39919</v>
      </c>
      <c r="D20" s="62" t="s">
        <v>856</v>
      </c>
      <c r="E20" s="92">
        <v>370125</v>
      </c>
      <c r="F20" s="133" t="s">
        <v>369</v>
      </c>
      <c r="H20" s="137"/>
    </row>
    <row r="21" spans="1:9" ht="24.75" customHeight="1" x14ac:dyDescent="0.25">
      <c r="A21" s="1"/>
      <c r="B21" s="132">
        <v>45603</v>
      </c>
      <c r="C21" s="133">
        <v>39916</v>
      </c>
      <c r="D21" s="62" t="s">
        <v>855</v>
      </c>
      <c r="E21" s="92">
        <v>151540.06</v>
      </c>
      <c r="F21" s="133" t="s">
        <v>369</v>
      </c>
      <c r="H21" s="137"/>
    </row>
    <row r="22" spans="1:9" ht="24.75" customHeight="1" x14ac:dyDescent="0.25">
      <c r="A22" s="1"/>
      <c r="B22" s="132">
        <v>45626</v>
      </c>
      <c r="C22" s="133"/>
      <c r="D22" s="62" t="s">
        <v>855</v>
      </c>
      <c r="E22" s="92">
        <v>530390.21</v>
      </c>
      <c r="F22" s="133" t="s">
        <v>369</v>
      </c>
      <c r="H22" s="137"/>
    </row>
    <row r="23" spans="1:9" ht="24.75" customHeight="1" x14ac:dyDescent="0.4">
      <c r="A23" s="1"/>
      <c r="B23" s="123"/>
      <c r="C23" s="123"/>
      <c r="D23" s="135" t="s">
        <v>360</v>
      </c>
      <c r="E23" s="136">
        <f>SUM(E9:E22)</f>
        <v>4798540.8099999996</v>
      </c>
      <c r="F23" s="123"/>
      <c r="H23" s="137"/>
    </row>
    <row r="24" spans="1:9" ht="6.75" customHeight="1" x14ac:dyDescent="0.25">
      <c r="A24" s="1"/>
      <c r="B24" s="123"/>
      <c r="C24" s="123"/>
      <c r="D24" s="123"/>
      <c r="E24" s="92"/>
      <c r="F24" s="123"/>
      <c r="H24" s="138"/>
      <c r="I24" s="134"/>
    </row>
    <row r="25" spans="1:9" ht="24.75" customHeight="1" x14ac:dyDescent="0.25">
      <c r="A25" s="1"/>
      <c r="B25" s="1"/>
      <c r="C25" s="1"/>
      <c r="D25" s="16"/>
      <c r="E25" s="356"/>
      <c r="F25" s="30"/>
      <c r="H25" s="138"/>
    </row>
    <row r="26" spans="1:9" ht="24.75" customHeight="1" x14ac:dyDescent="0.25">
      <c r="A26" s="1"/>
      <c r="B26" s="1"/>
      <c r="C26" s="1"/>
      <c r="D26" s="139" t="s">
        <v>374</v>
      </c>
      <c r="E26" s="137"/>
      <c r="F26" s="1"/>
    </row>
    <row r="28" spans="1:9" ht="24.75" customHeight="1" x14ac:dyDescent="0.25">
      <c r="D28" s="127" t="s">
        <v>855</v>
      </c>
    </row>
  </sheetData>
  <mergeCells count="5">
    <mergeCell ref="B2:F2"/>
    <mergeCell ref="B3:F3"/>
    <mergeCell ref="B4:F4"/>
    <mergeCell ref="B5:F5"/>
    <mergeCell ref="B6:F6"/>
  </mergeCells>
  <phoneticPr fontId="44" type="noConversion"/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topLeftCell="A4" workbookViewId="0">
      <selection activeCell="G13" sqref="G13"/>
    </sheetView>
  </sheetViews>
  <sheetFormatPr baseColWidth="10" defaultColWidth="11.42578125" defaultRowHeight="24.75" customHeight="1" x14ac:dyDescent="0.2"/>
  <cols>
    <col min="1" max="1" width="5.140625" style="138" customWidth="1"/>
    <col min="2" max="2" width="52" style="138" customWidth="1"/>
    <col min="3" max="3" width="25" style="138" customWidth="1"/>
    <col min="4" max="4" width="24.5703125" style="138" customWidth="1"/>
    <col min="5" max="16384" width="11.42578125" style="138"/>
  </cols>
  <sheetData>
    <row r="4" spans="2:3" ht="24.75" customHeight="1" x14ac:dyDescent="0.25">
      <c r="B4" s="539" t="s">
        <v>301</v>
      </c>
      <c r="C4" s="539"/>
    </row>
    <row r="5" spans="2:3" ht="24.75" customHeight="1" x14ac:dyDescent="0.25">
      <c r="B5" s="539" t="s">
        <v>280</v>
      </c>
      <c r="C5" s="539"/>
    </row>
    <row r="6" spans="2:3" ht="24.75" customHeight="1" x14ac:dyDescent="0.25">
      <c r="B6" s="539" t="s">
        <v>302</v>
      </c>
      <c r="C6" s="539"/>
    </row>
    <row r="7" spans="2:3" ht="24.75" customHeight="1" x14ac:dyDescent="0.25">
      <c r="B7" s="551">
        <v>45626</v>
      </c>
      <c r="C7" s="551"/>
    </row>
    <row r="8" spans="2:3" ht="24.75" customHeight="1" thickBot="1" x14ac:dyDescent="0.3">
      <c r="B8" s="1"/>
      <c r="C8" s="1"/>
    </row>
    <row r="9" spans="2:3" ht="24.75" customHeight="1" x14ac:dyDescent="0.25">
      <c r="B9" s="375" t="s">
        <v>266</v>
      </c>
      <c r="C9" s="165" t="s">
        <v>283</v>
      </c>
    </row>
    <row r="10" spans="2:3" ht="24.75" customHeight="1" x14ac:dyDescent="0.3">
      <c r="B10" s="376" t="s">
        <v>375</v>
      </c>
      <c r="C10" s="377">
        <v>0</v>
      </c>
    </row>
    <row r="11" spans="2:3" ht="24.75" customHeight="1" thickBot="1" x14ac:dyDescent="0.35">
      <c r="B11" s="140" t="s">
        <v>300</v>
      </c>
      <c r="C11" s="141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20"/>
  <sheetViews>
    <sheetView workbookViewId="0">
      <selection activeCell="G13" sqref="G13"/>
    </sheetView>
  </sheetViews>
  <sheetFormatPr baseColWidth="10" defaultColWidth="11.42578125" defaultRowHeight="24.75" customHeight="1" x14ac:dyDescent="0.2"/>
  <cols>
    <col min="1" max="1" width="6.140625" style="138" customWidth="1"/>
    <col min="2" max="2" width="35.28515625" style="138" customWidth="1"/>
    <col min="3" max="3" width="17" style="138" hidden="1" customWidth="1"/>
    <col min="4" max="4" width="18.42578125" style="138" hidden="1" customWidth="1"/>
    <col min="5" max="5" width="19.5703125" style="138" customWidth="1"/>
    <col min="6" max="6" width="13.85546875" style="138" customWidth="1"/>
    <col min="7" max="7" width="18" style="138" customWidth="1"/>
    <col min="8" max="8" width="24.28515625" style="138" customWidth="1"/>
    <col min="9" max="9" width="16.42578125" style="138" customWidth="1"/>
    <col min="10" max="16384" width="11.42578125" style="138"/>
  </cols>
  <sheetData>
    <row r="1" spans="1:9" ht="24.7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4.7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4.75" customHeight="1" x14ac:dyDescent="0.25">
      <c r="A3" s="560" t="s">
        <v>301</v>
      </c>
      <c r="B3" s="560"/>
      <c r="C3" s="560"/>
      <c r="D3" s="560"/>
      <c r="E3" s="560"/>
      <c r="F3" s="560"/>
      <c r="G3" s="560"/>
      <c r="H3" s="560"/>
      <c r="I3" s="560"/>
    </row>
    <row r="4" spans="1:9" ht="24.75" customHeight="1" x14ac:dyDescent="0.25">
      <c r="A4" s="560" t="s">
        <v>376</v>
      </c>
      <c r="B4" s="560"/>
      <c r="C4" s="560"/>
      <c r="D4" s="560"/>
      <c r="E4" s="560"/>
      <c r="F4" s="560"/>
      <c r="G4" s="560"/>
      <c r="H4" s="560"/>
      <c r="I4" s="560"/>
    </row>
    <row r="5" spans="1:9" ht="24.75" customHeight="1" x14ac:dyDescent="0.25">
      <c r="A5" s="560" t="s">
        <v>377</v>
      </c>
      <c r="B5" s="560"/>
      <c r="C5" s="560"/>
      <c r="D5" s="560"/>
      <c r="E5" s="560"/>
      <c r="F5" s="560"/>
      <c r="G5" s="560"/>
      <c r="H5" s="560"/>
      <c r="I5" s="560"/>
    </row>
    <row r="6" spans="1:9" ht="24.75" customHeight="1" x14ac:dyDescent="0.25">
      <c r="A6" s="561">
        <v>45626</v>
      </c>
      <c r="B6" s="561"/>
      <c r="C6" s="561"/>
      <c r="D6" s="561"/>
      <c r="E6" s="561"/>
      <c r="F6" s="561"/>
      <c r="G6" s="561"/>
      <c r="H6" s="561"/>
      <c r="I6" s="561"/>
    </row>
    <row r="7" spans="1:9" ht="24.75" customHeight="1" thickBot="1" x14ac:dyDescent="0.3">
      <c r="A7" s="68"/>
      <c r="B7" s="142"/>
      <c r="C7" s="68"/>
      <c r="D7" s="68"/>
      <c r="E7" s="68"/>
      <c r="F7" s="68"/>
      <c r="G7" s="68"/>
      <c r="H7" s="68"/>
      <c r="I7" s="68"/>
    </row>
    <row r="8" spans="1:9" ht="48" thickBot="1" x14ac:dyDescent="0.25">
      <c r="A8" s="143" t="s">
        <v>378</v>
      </c>
      <c r="B8" s="144" t="s">
        <v>379</v>
      </c>
      <c r="C8" s="144" t="s">
        <v>380</v>
      </c>
      <c r="D8" s="144" t="s">
        <v>381</v>
      </c>
      <c r="E8" s="145" t="s">
        <v>382</v>
      </c>
      <c r="F8" s="145" t="s">
        <v>383</v>
      </c>
      <c r="G8" s="145" t="s">
        <v>384</v>
      </c>
      <c r="H8" s="145" t="s">
        <v>385</v>
      </c>
      <c r="I8" s="146" t="s">
        <v>386</v>
      </c>
    </row>
    <row r="9" spans="1:9" s="1" customFormat="1" ht="25.5" customHeight="1" x14ac:dyDescent="0.4">
      <c r="A9" s="147">
        <v>1</v>
      </c>
      <c r="B9" s="148" t="s">
        <v>387</v>
      </c>
      <c r="C9" s="149" t="s">
        <v>388</v>
      </c>
      <c r="D9" s="148" t="s">
        <v>389</v>
      </c>
      <c r="E9" s="150">
        <v>78795</v>
      </c>
      <c r="F9" s="149">
        <v>10</v>
      </c>
      <c r="G9" s="150">
        <f>E9/F9</f>
        <v>7879.5</v>
      </c>
      <c r="H9" s="150">
        <f>+G9*10</f>
        <v>78795</v>
      </c>
      <c r="I9" s="151">
        <f>+E9-H9</f>
        <v>0</v>
      </c>
    </row>
    <row r="10" spans="1:9" s="1" customFormat="1" ht="25.5" customHeight="1" x14ac:dyDescent="0.4">
      <c r="A10" s="91"/>
      <c r="B10" s="152" t="s">
        <v>360</v>
      </c>
      <c r="C10" s="148"/>
      <c r="D10" s="148"/>
      <c r="E10" s="153">
        <f>SUM(E9:E9)</f>
        <v>78795</v>
      </c>
      <c r="F10" s="154"/>
      <c r="G10" s="153">
        <f>SUM(G9:G9)</f>
        <v>7879.5</v>
      </c>
      <c r="H10" s="153">
        <f>SUM(H9:H9)</f>
        <v>78795</v>
      </c>
      <c r="I10" s="155">
        <f>SUM(I9:I9)</f>
        <v>0</v>
      </c>
    </row>
    <row r="11" spans="1:9" s="1" customFormat="1" ht="25.5" customHeight="1" thickBot="1" x14ac:dyDescent="0.45">
      <c r="A11" s="156"/>
      <c r="B11" s="157"/>
      <c r="C11" s="158"/>
      <c r="D11" s="159"/>
      <c r="E11" s="160"/>
      <c r="F11" s="161"/>
      <c r="G11" s="160"/>
      <c r="H11" s="160"/>
      <c r="I11" s="162"/>
    </row>
    <row r="12" spans="1:9" ht="24.7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24.75" customHeight="1" x14ac:dyDescent="0.2">
      <c r="G13" s="163"/>
      <c r="H13" s="163"/>
    </row>
    <row r="14" spans="1:9" ht="24.75" customHeight="1" x14ac:dyDescent="0.2">
      <c r="F14" s="163"/>
    </row>
    <row r="15" spans="1:9" ht="24.75" customHeight="1" x14ac:dyDescent="0.2">
      <c r="F15" s="163"/>
      <c r="I15" s="163"/>
    </row>
    <row r="16" spans="1:9" ht="24.75" customHeight="1" x14ac:dyDescent="0.2">
      <c r="F16" s="163"/>
    </row>
    <row r="17" spans="6:6" ht="24.75" customHeight="1" x14ac:dyDescent="0.2">
      <c r="F17" s="163"/>
    </row>
    <row r="18" spans="6:6" ht="24.75" customHeight="1" x14ac:dyDescent="0.2">
      <c r="F18" s="163"/>
    </row>
    <row r="19" spans="6:6" ht="24.75" customHeight="1" x14ac:dyDescent="0.2">
      <c r="F19" s="163"/>
    </row>
    <row r="20" spans="6:6" ht="24.75" customHeight="1" x14ac:dyDescent="0.2">
      <c r="F20" s="163"/>
    </row>
  </sheetData>
  <mergeCells count="4">
    <mergeCell ref="A3:I3"/>
    <mergeCell ref="A4:I4"/>
    <mergeCell ref="A5:I5"/>
    <mergeCell ref="A6:I6"/>
  </mergeCells>
  <pageMargins left="0.5118110236220472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zoomScaleNormal="100" workbookViewId="0">
      <selection activeCell="G13" sqref="G13"/>
    </sheetView>
  </sheetViews>
  <sheetFormatPr baseColWidth="10" defaultColWidth="9.140625" defaultRowHeight="24.75" customHeight="1" x14ac:dyDescent="0.25"/>
  <cols>
    <col min="1" max="1" width="5.5703125" style="1" customWidth="1"/>
    <col min="2" max="2" width="39" style="1" customWidth="1"/>
    <col min="3" max="3" width="22.42578125" style="1" customWidth="1"/>
    <col min="4" max="4" width="15.7109375" style="1" bestFit="1" customWidth="1"/>
    <col min="5" max="5" width="15.85546875" style="1" customWidth="1"/>
    <col min="6" max="6" width="11.140625" style="1" bestFit="1" customWidth="1"/>
    <col min="7" max="7" width="12.7109375" style="1" bestFit="1" customWidth="1"/>
    <col min="8" max="9" width="9.140625" style="1"/>
    <col min="10" max="10" width="13.5703125" style="1" customWidth="1"/>
    <col min="11" max="11" width="9.140625" style="1"/>
    <col min="12" max="12" width="15.5703125" style="1" bestFit="1" customWidth="1"/>
    <col min="13" max="16384" width="9.140625" style="1"/>
  </cols>
  <sheetData>
    <row r="4" spans="2:7" ht="24.75" customHeight="1" x14ac:dyDescent="0.25">
      <c r="B4" s="539" t="s">
        <v>301</v>
      </c>
      <c r="C4" s="539"/>
    </row>
    <row r="5" spans="2:7" ht="24.75" customHeight="1" x14ac:dyDescent="0.25">
      <c r="B5" s="539" t="s">
        <v>280</v>
      </c>
      <c r="C5" s="539"/>
    </row>
    <row r="6" spans="2:7" ht="24.75" customHeight="1" x14ac:dyDescent="0.25">
      <c r="B6" s="539" t="s">
        <v>302</v>
      </c>
      <c r="C6" s="539"/>
    </row>
    <row r="7" spans="2:7" ht="24.75" customHeight="1" x14ac:dyDescent="0.25">
      <c r="B7" s="551">
        <v>45626</v>
      </c>
      <c r="C7" s="551"/>
      <c r="D7" s="52"/>
    </row>
    <row r="8" spans="2:7" ht="24.75" customHeight="1" thickBot="1" x14ac:dyDescent="0.3">
      <c r="D8" s="2"/>
    </row>
    <row r="9" spans="2:7" ht="24.75" customHeight="1" thickBot="1" x14ac:dyDescent="0.3">
      <c r="B9" s="164" t="s">
        <v>390</v>
      </c>
      <c r="C9" s="165" t="s">
        <v>283</v>
      </c>
    </row>
    <row r="10" spans="2:7" ht="24.75" customHeight="1" x14ac:dyDescent="0.25">
      <c r="B10" s="166" t="s">
        <v>391</v>
      </c>
      <c r="C10" s="171">
        <v>291195.56</v>
      </c>
      <c r="D10" s="30"/>
      <c r="E10" s="532"/>
      <c r="F10" s="121"/>
      <c r="G10" s="30"/>
    </row>
    <row r="11" spans="2:7" ht="24.75" customHeight="1" x14ac:dyDescent="0.25">
      <c r="B11" s="76" t="s">
        <v>392</v>
      </c>
      <c r="C11" s="172">
        <v>91683.76</v>
      </c>
      <c r="D11" s="30"/>
      <c r="E11" s="532"/>
      <c r="G11" s="30"/>
    </row>
    <row r="12" spans="2:7" ht="24.75" customHeight="1" x14ac:dyDescent="0.4">
      <c r="B12" s="83" t="s">
        <v>300</v>
      </c>
      <c r="C12" s="169">
        <f>SUM(C10:C11)</f>
        <v>382879.32</v>
      </c>
      <c r="G12" s="30"/>
    </row>
    <row r="13" spans="2:7" ht="24.75" customHeight="1" thickBot="1" x14ac:dyDescent="0.3">
      <c r="B13" s="86"/>
      <c r="C13" s="170"/>
      <c r="E13" s="30"/>
    </row>
    <row r="14" spans="2:7" ht="24.75" customHeight="1" x14ac:dyDescent="0.25">
      <c r="E14" s="30"/>
    </row>
    <row r="15" spans="2:7" ht="24.75" customHeight="1" x14ac:dyDescent="0.25">
      <c r="E15" s="30"/>
    </row>
    <row r="17" spans="2:3" ht="24.75" customHeight="1" x14ac:dyDescent="0.25">
      <c r="C17" s="20"/>
    </row>
    <row r="18" spans="2:3" ht="24.75" customHeight="1" x14ac:dyDescent="0.25">
      <c r="C18" s="20"/>
    </row>
    <row r="19" spans="2:3" ht="24.75" customHeight="1" x14ac:dyDescent="0.25">
      <c r="B19" s="168" t="s">
        <v>393</v>
      </c>
      <c r="C19" s="20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J42"/>
  <sheetViews>
    <sheetView topLeftCell="A25" zoomScale="90" zoomScaleNormal="90" workbookViewId="0">
      <selection activeCell="G13" sqref="G13"/>
    </sheetView>
  </sheetViews>
  <sheetFormatPr baseColWidth="10" defaultColWidth="11.42578125" defaultRowHeight="24.75" customHeight="1" x14ac:dyDescent="0.25"/>
  <cols>
    <col min="1" max="1" width="6" style="1" customWidth="1"/>
    <col min="2" max="2" width="49.85546875" style="1" customWidth="1"/>
    <col min="3" max="3" width="30.5703125" style="1" bestFit="1" customWidth="1"/>
    <col min="4" max="4" width="22.85546875" style="1" customWidth="1"/>
    <col min="5" max="5" width="16.28515625" style="1" bestFit="1" customWidth="1"/>
    <col min="6" max="6" width="19" style="1" bestFit="1" customWidth="1"/>
    <col min="7" max="7" width="16.85546875" style="1" bestFit="1" customWidth="1"/>
    <col min="8" max="8" width="11.42578125" style="1"/>
    <col min="9" max="9" width="15.85546875" style="1" bestFit="1" customWidth="1"/>
    <col min="10" max="10" width="11.5703125" style="1" bestFit="1" customWidth="1"/>
    <col min="11" max="16384" width="11.42578125" style="1"/>
  </cols>
  <sheetData>
    <row r="3" spans="2:10" ht="24.75" customHeight="1" x14ac:dyDescent="0.25">
      <c r="B3" s="539" t="s">
        <v>394</v>
      </c>
      <c r="C3" s="539"/>
      <c r="E3" s="54"/>
    </row>
    <row r="4" spans="2:10" ht="24.75" customHeight="1" x14ac:dyDescent="0.25">
      <c r="B4" s="539" t="s">
        <v>280</v>
      </c>
      <c r="C4" s="539"/>
      <c r="E4" s="54"/>
    </row>
    <row r="5" spans="2:10" ht="24.75" customHeight="1" x14ac:dyDescent="0.25">
      <c r="B5" s="539" t="s">
        <v>13</v>
      </c>
      <c r="C5" s="539"/>
      <c r="E5" s="54"/>
    </row>
    <row r="6" spans="2:10" ht="24.75" customHeight="1" x14ac:dyDescent="0.25">
      <c r="B6" s="551">
        <v>45626</v>
      </c>
      <c r="C6" s="551"/>
      <c r="E6" s="54"/>
    </row>
    <row r="7" spans="2:10" ht="24.75" customHeight="1" thickBot="1" x14ac:dyDescent="0.3">
      <c r="B7" s="70"/>
      <c r="C7" s="70"/>
      <c r="E7" s="54"/>
    </row>
    <row r="8" spans="2:10" ht="24.75" customHeight="1" thickBot="1" x14ac:dyDescent="0.3">
      <c r="B8" s="73" t="s">
        <v>266</v>
      </c>
      <c r="C8" s="75" t="s">
        <v>283</v>
      </c>
      <c r="E8" s="54"/>
    </row>
    <row r="9" spans="2:10" ht="24.75" customHeight="1" x14ac:dyDescent="0.25">
      <c r="B9" s="173" t="s">
        <v>395</v>
      </c>
      <c r="C9" s="104"/>
      <c r="E9" s="54"/>
    </row>
    <row r="10" spans="2:10" ht="24.75" customHeight="1" x14ac:dyDescent="0.25">
      <c r="B10" s="103" t="s">
        <v>396</v>
      </c>
      <c r="C10" s="104">
        <v>417926.95</v>
      </c>
      <c r="E10" s="54"/>
      <c r="F10" s="2"/>
      <c r="G10" s="20"/>
      <c r="I10" s="2"/>
      <c r="J10" s="20"/>
    </row>
    <row r="11" spans="2:10" ht="24.75" customHeight="1" x14ac:dyDescent="0.25">
      <c r="B11" s="103" t="s">
        <v>397</v>
      </c>
      <c r="C11" s="104">
        <v>176059.96</v>
      </c>
      <c r="E11" s="54"/>
      <c r="F11" s="2"/>
      <c r="G11" s="20"/>
      <c r="I11" s="2"/>
      <c r="J11" s="20"/>
    </row>
    <row r="12" spans="2:10" ht="24.75" customHeight="1" x14ac:dyDescent="0.25">
      <c r="B12" s="103" t="s">
        <v>398</v>
      </c>
      <c r="C12" s="104">
        <v>272505.83</v>
      </c>
      <c r="E12" s="54"/>
      <c r="F12" s="2"/>
      <c r="G12" s="20"/>
    </row>
    <row r="13" spans="2:10" ht="24.75" customHeight="1" x14ac:dyDescent="0.25">
      <c r="B13" s="103" t="s">
        <v>399</v>
      </c>
      <c r="C13" s="104">
        <v>673940.78</v>
      </c>
      <c r="E13" s="54"/>
      <c r="F13" s="2"/>
      <c r="G13" s="20"/>
    </row>
    <row r="14" spans="2:10" ht="24.75" customHeight="1" x14ac:dyDescent="0.25">
      <c r="B14" s="103" t="s">
        <v>400</v>
      </c>
      <c r="C14" s="104">
        <v>103955.73</v>
      </c>
      <c r="E14" s="54"/>
      <c r="F14" s="2"/>
      <c r="G14" s="20"/>
    </row>
    <row r="15" spans="2:10" ht="24.75" customHeight="1" x14ac:dyDescent="0.25">
      <c r="B15" s="103" t="s">
        <v>401</v>
      </c>
      <c r="C15" s="104">
        <v>221805.1</v>
      </c>
      <c r="E15" s="54"/>
      <c r="F15" s="2"/>
      <c r="G15" s="20"/>
    </row>
    <row r="16" spans="2:10" ht="24.75" customHeight="1" x14ac:dyDescent="0.25">
      <c r="B16" s="103" t="s">
        <v>402</v>
      </c>
      <c r="C16" s="104">
        <v>11328</v>
      </c>
      <c r="E16" s="54"/>
      <c r="F16" s="2"/>
      <c r="G16" s="20"/>
    </row>
    <row r="17" spans="2:7" ht="24.75" customHeight="1" x14ac:dyDescent="0.25">
      <c r="B17" s="103" t="s">
        <v>403</v>
      </c>
      <c r="C17" s="104">
        <v>135147.60999999999</v>
      </c>
      <c r="E17" s="54"/>
      <c r="F17" s="2"/>
      <c r="G17" s="20"/>
    </row>
    <row r="18" spans="2:7" ht="24.75" customHeight="1" x14ac:dyDescent="0.25">
      <c r="B18" s="103" t="s">
        <v>854</v>
      </c>
      <c r="C18" s="104">
        <v>185078</v>
      </c>
      <c r="E18" s="54"/>
      <c r="F18" s="2"/>
      <c r="G18" s="20"/>
    </row>
    <row r="19" spans="2:7" ht="24.75" customHeight="1" x14ac:dyDescent="0.4">
      <c r="B19" s="103" t="s">
        <v>404</v>
      </c>
      <c r="C19" s="174">
        <v>66251.009999999995</v>
      </c>
      <c r="E19" s="54"/>
      <c r="F19" s="2"/>
      <c r="G19" s="20"/>
    </row>
    <row r="20" spans="2:7" ht="24.75" customHeight="1" x14ac:dyDescent="0.25">
      <c r="B20" s="292" t="s">
        <v>405</v>
      </c>
      <c r="C20" s="293">
        <f>SUM(C10:C19)</f>
        <v>2263998.9699999997</v>
      </c>
      <c r="D20" s="20"/>
      <c r="E20" s="54"/>
      <c r="F20" s="2"/>
      <c r="G20" s="20"/>
    </row>
    <row r="21" spans="2:7" ht="24.75" customHeight="1" x14ac:dyDescent="0.25">
      <c r="B21" s="175"/>
      <c r="C21" s="176"/>
      <c r="D21" s="20"/>
      <c r="E21" s="54"/>
      <c r="G21" s="20"/>
    </row>
    <row r="22" spans="2:7" ht="24.75" customHeight="1" x14ac:dyDescent="0.25">
      <c r="B22" s="108" t="s">
        <v>406</v>
      </c>
      <c r="C22" s="106"/>
      <c r="E22" s="54"/>
      <c r="F22" s="2"/>
      <c r="G22" s="20"/>
    </row>
    <row r="23" spans="2:7" ht="24.75" customHeight="1" x14ac:dyDescent="0.25">
      <c r="B23" s="105" t="s">
        <v>407</v>
      </c>
      <c r="C23" s="106">
        <v>67650.58</v>
      </c>
      <c r="E23" s="54"/>
      <c r="F23" s="2"/>
      <c r="G23" s="20"/>
    </row>
    <row r="24" spans="2:7" ht="24.75" customHeight="1" x14ac:dyDescent="0.25">
      <c r="B24" s="105" t="s">
        <v>408</v>
      </c>
      <c r="C24" s="106">
        <v>191637.33</v>
      </c>
      <c r="E24" s="54"/>
      <c r="F24" s="2"/>
      <c r="G24" s="20"/>
    </row>
    <row r="25" spans="2:7" ht="24.75" customHeight="1" x14ac:dyDescent="0.25">
      <c r="B25" s="105" t="s">
        <v>409</v>
      </c>
      <c r="C25" s="106">
        <v>13861.54</v>
      </c>
      <c r="E25" s="54"/>
      <c r="F25" s="2"/>
      <c r="G25" s="20"/>
    </row>
    <row r="26" spans="2:7" ht="24.75" customHeight="1" x14ac:dyDescent="0.25">
      <c r="B26" s="105" t="s">
        <v>410</v>
      </c>
      <c r="C26" s="106">
        <v>119130.72</v>
      </c>
      <c r="E26" s="54"/>
      <c r="F26" s="2"/>
      <c r="G26" s="20"/>
    </row>
    <row r="27" spans="2:7" ht="24.75" customHeight="1" x14ac:dyDescent="0.25">
      <c r="B27" s="105" t="s">
        <v>411</v>
      </c>
      <c r="C27" s="106">
        <v>71718.039999999994</v>
      </c>
      <c r="E27" s="54"/>
      <c r="F27" s="2"/>
      <c r="G27" s="20"/>
    </row>
    <row r="28" spans="2:7" ht="24.75" customHeight="1" x14ac:dyDescent="0.25">
      <c r="B28" s="105" t="s">
        <v>412</v>
      </c>
      <c r="C28" s="106">
        <v>196607.71</v>
      </c>
      <c r="E28" s="54"/>
      <c r="F28" s="2"/>
      <c r="G28" s="20"/>
    </row>
    <row r="29" spans="2:7" ht="24.75" hidden="1" customHeight="1" x14ac:dyDescent="0.25">
      <c r="B29" s="105" t="s">
        <v>413</v>
      </c>
      <c r="C29" s="106"/>
      <c r="E29" s="54"/>
      <c r="F29" s="2"/>
      <c r="G29" s="20"/>
    </row>
    <row r="30" spans="2:7" ht="24.75" hidden="1" customHeight="1" x14ac:dyDescent="0.25">
      <c r="B30" s="105" t="s">
        <v>414</v>
      </c>
      <c r="C30" s="106"/>
      <c r="E30" s="54"/>
      <c r="F30" s="2"/>
      <c r="G30" s="20"/>
    </row>
    <row r="31" spans="2:7" ht="24.75" customHeight="1" x14ac:dyDescent="0.4">
      <c r="B31" s="105" t="s">
        <v>415</v>
      </c>
      <c r="C31" s="107">
        <v>208132.51</v>
      </c>
      <c r="E31" s="54"/>
      <c r="F31" s="2"/>
      <c r="G31" s="20"/>
    </row>
    <row r="32" spans="2:7" ht="24.75" customHeight="1" x14ac:dyDescent="0.4">
      <c r="B32" s="292" t="s">
        <v>416</v>
      </c>
      <c r="C32" s="294">
        <f>SUM(C23:C31)</f>
        <v>868738.42999999993</v>
      </c>
      <c r="E32" s="54"/>
      <c r="F32" s="2"/>
      <c r="G32" s="20"/>
    </row>
    <row r="33" spans="2:7" ht="24.75" customHeight="1" x14ac:dyDescent="0.4">
      <c r="B33" s="292"/>
      <c r="C33" s="294"/>
      <c r="E33" s="54"/>
      <c r="F33" s="2"/>
      <c r="G33" s="20"/>
    </row>
    <row r="34" spans="2:7" ht="24.75" customHeight="1" x14ac:dyDescent="0.4">
      <c r="B34" s="295" t="s">
        <v>300</v>
      </c>
      <c r="C34" s="177">
        <f>+C20+C32</f>
        <v>3132737.3999999994</v>
      </c>
      <c r="E34" s="54"/>
      <c r="F34" s="2"/>
      <c r="G34" s="20"/>
    </row>
    <row r="35" spans="2:7" ht="24.75" customHeight="1" thickBot="1" x14ac:dyDescent="0.3">
      <c r="B35" s="110"/>
      <c r="C35" s="111"/>
      <c r="E35" s="370"/>
    </row>
    <row r="36" spans="2:7" ht="24.75" customHeight="1" x14ac:dyDescent="0.25">
      <c r="C36" s="20"/>
      <c r="G36" s="459"/>
    </row>
    <row r="37" spans="2:7" ht="24.75" customHeight="1" x14ac:dyDescent="0.25">
      <c r="C37" s="20"/>
      <c r="E37" s="2"/>
    </row>
    <row r="38" spans="2:7" ht="10.5" customHeight="1" x14ac:dyDescent="0.25">
      <c r="C38" s="20"/>
      <c r="E38" s="2"/>
    </row>
    <row r="39" spans="2:7" ht="24.75" customHeight="1" x14ac:dyDescent="0.25">
      <c r="C39" s="20"/>
      <c r="E39" s="2"/>
    </row>
    <row r="40" spans="2:7" ht="24.75" customHeight="1" x14ac:dyDescent="0.25">
      <c r="C40" s="20"/>
      <c r="D40" s="2"/>
      <c r="E40" s="2"/>
    </row>
    <row r="41" spans="2:7" ht="24.75" customHeight="1" x14ac:dyDescent="0.25">
      <c r="C41" s="2"/>
      <c r="D41" s="2"/>
      <c r="E41" s="2"/>
    </row>
    <row r="42" spans="2:7" ht="24.75" customHeight="1" x14ac:dyDescent="0.25">
      <c r="C42" s="2"/>
      <c r="D42" s="2"/>
      <c r="E42" s="2"/>
    </row>
  </sheetData>
  <mergeCells count="4">
    <mergeCell ref="B5:C5"/>
    <mergeCell ref="B6:C6"/>
    <mergeCell ref="B4:C4"/>
    <mergeCell ref="B3:C3"/>
  </mergeCells>
  <phoneticPr fontId="35" type="noConversion"/>
  <pageMargins left="0.70866141732283472" right="0.70866141732283472" top="0.45" bottom="0.74803149606299213" header="0.31496062992125984" footer="0.31496062992125984"/>
  <pageSetup scale="8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I29"/>
  <sheetViews>
    <sheetView topLeftCell="A7" zoomScaleNormal="100" workbookViewId="0">
      <selection activeCell="C14" sqref="C14"/>
    </sheetView>
  </sheetViews>
  <sheetFormatPr baseColWidth="10" defaultColWidth="11.42578125" defaultRowHeight="24.75" customHeight="1" x14ac:dyDescent="0.25"/>
  <cols>
    <col min="1" max="1" width="10.140625" style="1" customWidth="1"/>
    <col min="2" max="2" width="39.28515625" style="1" customWidth="1"/>
    <col min="3" max="3" width="24.7109375" style="1" customWidth="1"/>
    <col min="4" max="4" width="15.85546875" style="1" bestFit="1" customWidth="1"/>
    <col min="5" max="5" width="13.85546875" style="1" bestFit="1" customWidth="1"/>
    <col min="6" max="16384" width="11.42578125" style="1"/>
  </cols>
  <sheetData>
    <row r="3" spans="2:9" ht="24.75" customHeight="1" x14ac:dyDescent="0.25">
      <c r="B3" s="539" t="s">
        <v>417</v>
      </c>
      <c r="C3" s="539"/>
    </row>
    <row r="4" spans="2:9" ht="30" customHeight="1" x14ac:dyDescent="0.25">
      <c r="B4" s="539" t="s">
        <v>280</v>
      </c>
      <c r="C4" s="539"/>
    </row>
    <row r="5" spans="2:9" ht="31.5" customHeight="1" x14ac:dyDescent="0.25">
      <c r="B5" s="562" t="s">
        <v>418</v>
      </c>
      <c r="C5" s="562"/>
      <c r="H5" s="50"/>
      <c r="I5" s="50"/>
    </row>
    <row r="6" spans="2:9" ht="24.75" customHeight="1" x14ac:dyDescent="0.25">
      <c r="B6" s="551">
        <v>45626</v>
      </c>
      <c r="C6" s="551"/>
    </row>
    <row r="7" spans="2:9" ht="24.75" customHeight="1" thickBot="1" x14ac:dyDescent="0.3">
      <c r="B7" s="70"/>
      <c r="C7" s="70"/>
    </row>
    <row r="8" spans="2:9" ht="24.75" customHeight="1" thickBot="1" x14ac:dyDescent="0.3">
      <c r="B8" s="73" t="s">
        <v>266</v>
      </c>
      <c r="C8" s="75" t="s">
        <v>283</v>
      </c>
    </row>
    <row r="9" spans="2:9" ht="24.75" customHeight="1" x14ac:dyDescent="0.25">
      <c r="B9" s="103" t="s">
        <v>419</v>
      </c>
      <c r="C9" s="104">
        <f>+'NOTA 5-SEG PAG X ANT'!F52</f>
        <v>904426.83</v>
      </c>
    </row>
    <row r="10" spans="2:9" ht="24.75" customHeight="1" x14ac:dyDescent="0.25">
      <c r="B10" s="105" t="s">
        <v>420</v>
      </c>
      <c r="C10" s="106">
        <f>+'NOTA 5 - LIC MS 365 AMORTIZ'!F44</f>
        <v>421450.04000000004</v>
      </c>
    </row>
    <row r="11" spans="2:9" ht="24.75" customHeight="1" x14ac:dyDescent="0.25">
      <c r="B11" s="105" t="s">
        <v>421</v>
      </c>
      <c r="C11" s="106">
        <f>+'NOTA 5 LICENCIAS JIRA'!F43</f>
        <v>600000</v>
      </c>
    </row>
    <row r="12" spans="2:9" ht="24.75" customHeight="1" x14ac:dyDescent="0.25">
      <c r="B12" s="105" t="s">
        <v>422</v>
      </c>
      <c r="C12" s="106">
        <f>+'NOTA 5 LIC ANTIDESASTRES'!F43</f>
        <v>963333.33333333326</v>
      </c>
    </row>
    <row r="13" spans="2:9" ht="24.75" customHeight="1" x14ac:dyDescent="0.4">
      <c r="B13" s="105" t="s">
        <v>423</v>
      </c>
      <c r="C13" s="107">
        <v>0</v>
      </c>
      <c r="D13" s="20"/>
    </row>
    <row r="14" spans="2:9" ht="24.75" customHeight="1" x14ac:dyDescent="0.4">
      <c r="B14" s="108" t="s">
        <v>300</v>
      </c>
      <c r="C14" s="109">
        <f>SUM(C9:C13)</f>
        <v>2889210.2033333331</v>
      </c>
    </row>
    <row r="15" spans="2:9" ht="16.5" thickBot="1" x14ac:dyDescent="0.3">
      <c r="B15" s="110"/>
      <c r="C15" s="111"/>
    </row>
    <row r="16" spans="2:9" ht="18" customHeight="1" x14ac:dyDescent="0.25">
      <c r="B16" s="178"/>
      <c r="C16" s="178"/>
    </row>
    <row r="17" spans="2:4" ht="18" customHeight="1" x14ac:dyDescent="0.25">
      <c r="B17" s="178"/>
      <c r="C17" s="357"/>
    </row>
    <row r="18" spans="2:4" ht="18" customHeight="1" x14ac:dyDescent="0.25">
      <c r="B18" s="178"/>
      <c r="C18" s="178"/>
    </row>
    <row r="19" spans="2:4" ht="18" customHeight="1" x14ac:dyDescent="0.25">
      <c r="B19" s="178"/>
      <c r="C19" s="178"/>
    </row>
    <row r="20" spans="2:4" ht="18" customHeight="1" x14ac:dyDescent="0.25">
      <c r="B20" s="178"/>
      <c r="C20" s="178"/>
      <c r="D20" s="20"/>
    </row>
    <row r="21" spans="2:4" ht="24.75" customHeight="1" x14ac:dyDescent="0.25">
      <c r="C21" s="20"/>
    </row>
    <row r="22" spans="2:4" ht="24.75" hidden="1" customHeight="1" x14ac:dyDescent="0.25">
      <c r="B22" s="1" t="s">
        <v>424</v>
      </c>
      <c r="C22" s="20">
        <f>-'NOTA 5-SEG PAG X ANT'!F49</f>
        <v>-82220.62</v>
      </c>
    </row>
    <row r="23" spans="2:4" ht="24.75" hidden="1" customHeight="1" x14ac:dyDescent="0.25">
      <c r="B23" s="1" t="s">
        <v>425</v>
      </c>
      <c r="C23" s="20">
        <f>-'NOTA 5 - LIC MS 365 AMORTIZ'!F37</f>
        <v>0</v>
      </c>
    </row>
    <row r="24" spans="2:4" ht="24.75" hidden="1" customHeight="1" x14ac:dyDescent="0.25">
      <c r="B24" s="1" t="s">
        <v>426</v>
      </c>
      <c r="C24" s="20">
        <f>-'NOTA 5 LICENCIAS JIRA'!F33</f>
        <v>0</v>
      </c>
    </row>
    <row r="25" spans="2:4" ht="24.75" hidden="1" customHeight="1" x14ac:dyDescent="0.25">
      <c r="B25" s="1" t="s">
        <v>427</v>
      </c>
      <c r="C25" s="20">
        <f>-'NOTA 5 Licencias Adobe'!F32</f>
        <v>-27433.334166666667</v>
      </c>
    </row>
    <row r="26" spans="2:4" ht="24.75" hidden="1" customHeight="1" x14ac:dyDescent="0.25">
      <c r="B26" s="1" t="s">
        <v>428</v>
      </c>
      <c r="C26" s="20">
        <v>-278983.06</v>
      </c>
    </row>
    <row r="27" spans="2:4" ht="24.75" hidden="1" customHeight="1" thickBot="1" x14ac:dyDescent="0.3">
      <c r="B27" s="1" t="s">
        <v>429</v>
      </c>
      <c r="C27" s="179">
        <f>SUM(C21:C26)</f>
        <v>-388637.01416666666</v>
      </c>
    </row>
    <row r="28" spans="2:4" ht="24.75" hidden="1" customHeight="1" thickTop="1" x14ac:dyDescent="0.25"/>
    <row r="29" spans="2:4" ht="24.75" customHeight="1" x14ac:dyDescent="0.25">
      <c r="C29" s="20"/>
    </row>
  </sheetData>
  <mergeCells count="4">
    <mergeCell ref="B3:C3"/>
    <mergeCell ref="B5:C5"/>
    <mergeCell ref="B6:C6"/>
    <mergeCell ref="B4:C4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G54"/>
  <sheetViews>
    <sheetView topLeftCell="A30" zoomScale="110" zoomScaleNormal="110" workbookViewId="0">
      <selection activeCell="C14" sqref="C14"/>
    </sheetView>
  </sheetViews>
  <sheetFormatPr baseColWidth="10" defaultColWidth="11.5703125" defaultRowHeight="15.75" x14ac:dyDescent="0.25"/>
  <cols>
    <col min="1" max="1" width="11.5703125" style="1" customWidth="1"/>
    <col min="2" max="2" width="24.5703125" style="1" customWidth="1"/>
    <col min="3" max="3" width="12" style="1" customWidth="1"/>
    <col min="4" max="4" width="19.28515625" style="1" bestFit="1" customWidth="1"/>
    <col min="5" max="5" width="11.5703125" style="1" customWidth="1"/>
    <col min="6" max="6" width="16.5703125" style="1" bestFit="1" customWidth="1"/>
    <col min="7" max="16384" width="11.5703125" style="1"/>
  </cols>
  <sheetData>
    <row r="4" spans="2:6" x14ac:dyDescent="0.25">
      <c r="B4" s="539" t="s">
        <v>417</v>
      </c>
      <c r="C4" s="539"/>
      <c r="D4" s="539"/>
      <c r="E4" s="539"/>
      <c r="F4" s="539"/>
    </row>
    <row r="5" spans="2:6" x14ac:dyDescent="0.25">
      <c r="B5" s="539" t="s">
        <v>280</v>
      </c>
      <c r="C5" s="539"/>
      <c r="D5" s="539"/>
      <c r="E5" s="539"/>
      <c r="F5" s="539"/>
    </row>
    <row r="6" spans="2:6" x14ac:dyDescent="0.25">
      <c r="B6" s="539" t="s">
        <v>430</v>
      </c>
      <c r="C6" s="539"/>
      <c r="D6" s="539"/>
      <c r="E6" s="539"/>
      <c r="F6" s="539"/>
    </row>
    <row r="7" spans="2:6" x14ac:dyDescent="0.25">
      <c r="B7" s="563">
        <v>45626</v>
      </c>
      <c r="C7" s="563"/>
      <c r="D7" s="563"/>
      <c r="E7" s="563"/>
      <c r="F7" s="563"/>
    </row>
    <row r="9" spans="2:6" x14ac:dyDescent="0.25">
      <c r="B9" s="540" t="s">
        <v>847</v>
      </c>
      <c r="C9" s="540"/>
      <c r="D9" s="540"/>
      <c r="E9" s="540"/>
      <c r="F9" s="540"/>
    </row>
    <row r="10" spans="2:6" x14ac:dyDescent="0.25">
      <c r="B10" s="540" t="s">
        <v>431</v>
      </c>
      <c r="C10" s="540"/>
      <c r="D10" s="540"/>
      <c r="E10" s="540"/>
      <c r="F10" s="540"/>
    </row>
    <row r="11" spans="2:6" x14ac:dyDescent="0.25">
      <c r="B11" s="540" t="s">
        <v>432</v>
      </c>
      <c r="C11" s="540"/>
      <c r="D11" s="540"/>
      <c r="E11" s="540"/>
      <c r="F11" s="540"/>
    </row>
    <row r="12" spans="2:6" ht="16.5" thickBot="1" x14ac:dyDescent="0.3">
      <c r="B12" s="19"/>
      <c r="C12" s="19"/>
      <c r="D12" s="19"/>
      <c r="E12" s="19"/>
      <c r="F12" s="19"/>
    </row>
    <row r="13" spans="2:6" ht="18" customHeight="1" thickBot="1" x14ac:dyDescent="0.3">
      <c r="B13" s="73" t="s">
        <v>433</v>
      </c>
      <c r="C13" s="74"/>
      <c r="D13" s="74" t="s">
        <v>434</v>
      </c>
      <c r="E13" s="74"/>
      <c r="F13" s="236" t="s">
        <v>435</v>
      </c>
    </row>
    <row r="14" spans="2:6" x14ac:dyDescent="0.25">
      <c r="B14" s="180" t="s">
        <v>436</v>
      </c>
      <c r="D14" s="1" t="s">
        <v>437</v>
      </c>
      <c r="F14" s="181">
        <v>594182.82999999996</v>
      </c>
    </row>
    <row r="15" spans="2:6" x14ac:dyDescent="0.25">
      <c r="B15" s="180" t="s">
        <v>438</v>
      </c>
      <c r="D15" s="1" t="s">
        <v>439</v>
      </c>
      <c r="F15" s="181">
        <v>313416.84000000003</v>
      </c>
    </row>
    <row r="16" spans="2:6" x14ac:dyDescent="0.25">
      <c r="B16" s="180" t="s">
        <v>440</v>
      </c>
      <c r="D16" s="1" t="s">
        <v>441</v>
      </c>
      <c r="F16" s="181">
        <v>5619.41</v>
      </c>
    </row>
    <row r="17" spans="1:7" x14ac:dyDescent="0.25">
      <c r="B17" s="180" t="s">
        <v>442</v>
      </c>
      <c r="D17" s="1" t="s">
        <v>443</v>
      </c>
      <c r="F17" s="181">
        <v>23218.799999999999</v>
      </c>
    </row>
    <row r="18" spans="1:7" x14ac:dyDescent="0.25">
      <c r="B18" s="180" t="s">
        <v>444</v>
      </c>
      <c r="D18" s="1" t="s">
        <v>445</v>
      </c>
      <c r="F18" s="181">
        <v>29979.7</v>
      </c>
    </row>
    <row r="19" spans="1:7" x14ac:dyDescent="0.25">
      <c r="B19" s="180" t="s">
        <v>446</v>
      </c>
      <c r="D19" s="1" t="s">
        <v>447</v>
      </c>
      <c r="F19" s="181">
        <v>20229.87</v>
      </c>
    </row>
    <row r="20" spans="1:7" ht="18" x14ac:dyDescent="0.4">
      <c r="B20" s="180" t="s">
        <v>448</v>
      </c>
      <c r="F20" s="182"/>
    </row>
    <row r="21" spans="1:7" ht="18" x14ac:dyDescent="0.4">
      <c r="B21" s="183" t="s">
        <v>360</v>
      </c>
      <c r="C21" s="84"/>
      <c r="D21" s="84"/>
      <c r="E21" s="84"/>
      <c r="F21" s="184">
        <f>SUM(F14:F20)</f>
        <v>986647.45</v>
      </c>
    </row>
    <row r="22" spans="1:7" x14ac:dyDescent="0.25">
      <c r="F22" s="58"/>
    </row>
    <row r="23" spans="1:7" x14ac:dyDescent="0.25">
      <c r="B23" s="185" t="s">
        <v>834</v>
      </c>
      <c r="C23" s="186"/>
      <c r="D23" s="186"/>
      <c r="E23" s="186"/>
      <c r="F23" s="187">
        <v>986647.45</v>
      </c>
    </row>
    <row r="24" spans="1:7" ht="18" x14ac:dyDescent="0.4">
      <c r="B24" s="188"/>
      <c r="F24" s="182"/>
    </row>
    <row r="25" spans="1:7" ht="18" x14ac:dyDescent="0.4">
      <c r="B25" s="189" t="s">
        <v>449</v>
      </c>
      <c r="C25" s="64"/>
      <c r="D25" s="64"/>
      <c r="E25" s="64"/>
      <c r="F25" s="190">
        <f>SUM(F23:F24)</f>
        <v>986647.45</v>
      </c>
    </row>
    <row r="26" spans="1:7" x14ac:dyDescent="0.25">
      <c r="A26" s="428"/>
      <c r="F26" s="58"/>
    </row>
    <row r="27" spans="1:7" x14ac:dyDescent="0.25">
      <c r="F27" s="2"/>
    </row>
    <row r="28" spans="1:7" x14ac:dyDescent="0.25">
      <c r="B28" s="191" t="s">
        <v>450</v>
      </c>
      <c r="C28" s="191"/>
      <c r="D28" s="191"/>
      <c r="E28" s="191"/>
      <c r="F28" s="192">
        <f>+F21/12</f>
        <v>82220.620833333334</v>
      </c>
    </row>
    <row r="29" spans="1:7" x14ac:dyDescent="0.25">
      <c r="F29" s="2"/>
    </row>
    <row r="30" spans="1:7" x14ac:dyDescent="0.25">
      <c r="B30" s="1" t="s">
        <v>831</v>
      </c>
      <c r="D30" s="1">
        <v>2</v>
      </c>
      <c r="F30" s="2">
        <f>+F28*D30</f>
        <v>164441.24166666667</v>
      </c>
      <c r="G30" s="20"/>
    </row>
    <row r="31" spans="1:7" x14ac:dyDescent="0.25">
      <c r="F31" s="2"/>
    </row>
    <row r="32" spans="1:7" x14ac:dyDescent="0.25">
      <c r="B32" s="1" t="s">
        <v>832</v>
      </c>
      <c r="D32" s="1">
        <v>3</v>
      </c>
      <c r="F32" s="2">
        <f>+D32*F28</f>
        <v>246661.86249999999</v>
      </c>
      <c r="G32" s="20"/>
    </row>
    <row r="33" spans="2:7" x14ac:dyDescent="0.25">
      <c r="F33" s="2"/>
    </row>
    <row r="34" spans="2:7" x14ac:dyDescent="0.25">
      <c r="B34" s="1" t="s">
        <v>833</v>
      </c>
      <c r="D34" s="1">
        <v>7</v>
      </c>
      <c r="F34" s="2">
        <f>+D34*F28</f>
        <v>575544.34583333333</v>
      </c>
      <c r="G34" s="20"/>
    </row>
    <row r="35" spans="2:7" x14ac:dyDescent="0.25">
      <c r="F35" s="2"/>
    </row>
    <row r="36" spans="2:7" x14ac:dyDescent="0.25">
      <c r="B36" s="3" t="s">
        <v>835</v>
      </c>
      <c r="F36" s="28">
        <v>82220.62</v>
      </c>
      <c r="G36" s="20"/>
    </row>
    <row r="37" spans="2:7" hidden="1" x14ac:dyDescent="0.25">
      <c r="B37" s="1" t="s">
        <v>836</v>
      </c>
      <c r="F37" s="2"/>
    </row>
    <row r="38" spans="2:7" hidden="1" x14ac:dyDescent="0.25">
      <c r="B38" s="1" t="s">
        <v>837</v>
      </c>
      <c r="F38" s="2"/>
    </row>
    <row r="39" spans="2:7" hidden="1" x14ac:dyDescent="0.25">
      <c r="B39" s="1" t="s">
        <v>838</v>
      </c>
      <c r="F39" s="2"/>
    </row>
    <row r="40" spans="2:7" hidden="1" x14ac:dyDescent="0.25">
      <c r="B40" s="1" t="s">
        <v>839</v>
      </c>
      <c r="F40" s="2"/>
    </row>
    <row r="41" spans="2:7" hidden="1" x14ac:dyDescent="0.25">
      <c r="B41" s="1" t="s">
        <v>840</v>
      </c>
      <c r="F41" s="2"/>
    </row>
    <row r="42" spans="2:7" hidden="1" x14ac:dyDescent="0.25">
      <c r="B42" s="1" t="s">
        <v>841</v>
      </c>
      <c r="F42" s="2"/>
    </row>
    <row r="43" spans="2:7" hidden="1" x14ac:dyDescent="0.25">
      <c r="B43" s="1" t="s">
        <v>842</v>
      </c>
      <c r="F43" s="2"/>
    </row>
    <row r="44" spans="2:7" hidden="1" x14ac:dyDescent="0.25">
      <c r="B44" s="1" t="s">
        <v>843</v>
      </c>
      <c r="F44" s="2"/>
    </row>
    <row r="45" spans="2:7" hidden="1" x14ac:dyDescent="0.25">
      <c r="B45" s="1" t="s">
        <v>844</v>
      </c>
      <c r="F45" s="2"/>
    </row>
    <row r="46" spans="2:7" hidden="1" x14ac:dyDescent="0.25">
      <c r="B46" s="1" t="s">
        <v>845</v>
      </c>
      <c r="F46" s="2"/>
    </row>
    <row r="47" spans="2:7" hidden="1" x14ac:dyDescent="0.25">
      <c r="B47" s="1" t="s">
        <v>846</v>
      </c>
      <c r="F47" s="28"/>
    </row>
    <row r="48" spans="2:7" hidden="1" x14ac:dyDescent="0.25">
      <c r="B48" s="3" t="s">
        <v>451</v>
      </c>
      <c r="F48" s="2"/>
    </row>
    <row r="49" spans="2:6" x14ac:dyDescent="0.25">
      <c r="B49" s="1" t="s">
        <v>452</v>
      </c>
      <c r="F49" s="193">
        <f>SUM(F36:F47)</f>
        <v>82220.62</v>
      </c>
    </row>
    <row r="50" spans="2:6" x14ac:dyDescent="0.25">
      <c r="F50" s="98"/>
    </row>
    <row r="51" spans="2:6" x14ac:dyDescent="0.25">
      <c r="F51" s="58"/>
    </row>
    <row r="52" spans="2:6" ht="18" x14ac:dyDescent="0.4">
      <c r="B52" s="142" t="s">
        <v>453</v>
      </c>
      <c r="C52" s="142"/>
      <c r="D52" s="142"/>
      <c r="E52" s="142"/>
      <c r="F52" s="194">
        <f>+F25-F49</f>
        <v>904426.83</v>
      </c>
    </row>
    <row r="54" spans="2:6" x14ac:dyDescent="0.25">
      <c r="F54" s="20"/>
    </row>
  </sheetData>
  <mergeCells count="7">
    <mergeCell ref="B4:F4"/>
    <mergeCell ref="B5:F5"/>
    <mergeCell ref="B7:F7"/>
    <mergeCell ref="B10:F10"/>
    <mergeCell ref="B11:F11"/>
    <mergeCell ref="B6:F6"/>
    <mergeCell ref="B9:F9"/>
  </mergeCells>
  <phoneticPr fontId="35" type="noConversion"/>
  <pageMargins left="0.11811023622047245" right="0.70866141732283472" top="0.74803149606299213" bottom="0.74803149606299213" header="0.31496062992125984" footer="0.31496062992125984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7"/>
  <sheetViews>
    <sheetView view="pageBreakPreview" topLeftCell="A25" zoomScaleNormal="100" zoomScaleSheetLayoutView="100" workbookViewId="0">
      <selection activeCell="C14" sqref="C14"/>
    </sheetView>
  </sheetViews>
  <sheetFormatPr baseColWidth="10" defaultColWidth="11.42578125" defaultRowHeight="24.75" customHeight="1" x14ac:dyDescent="0.25"/>
  <cols>
    <col min="1" max="1" width="4.7109375" style="215" customWidth="1"/>
    <col min="2" max="2" width="33" style="215" bestFit="1" customWidth="1"/>
    <col min="3" max="3" width="13.5703125" style="215" customWidth="1"/>
    <col min="4" max="4" width="17" style="215" customWidth="1"/>
    <col min="5" max="5" width="12" style="215" bestFit="1" customWidth="1"/>
    <col min="6" max="6" width="18.85546875" style="215" customWidth="1"/>
    <col min="7" max="7" width="16" style="1" bestFit="1" customWidth="1"/>
    <col min="8" max="16384" width="11.42578125" style="1"/>
  </cols>
  <sheetData>
    <row r="1" spans="1:6" ht="15.95" customHeight="1" x14ac:dyDescent="0.25">
      <c r="A1" s="1"/>
      <c r="B1" s="1"/>
      <c r="C1" s="1"/>
      <c r="D1" s="1"/>
      <c r="E1" s="1"/>
      <c r="F1" s="1"/>
    </row>
    <row r="2" spans="1:6" ht="15.95" customHeight="1" x14ac:dyDescent="0.25">
      <c r="A2" s="1"/>
      <c r="B2" s="1"/>
      <c r="C2" s="1"/>
      <c r="D2" s="1"/>
      <c r="E2" s="1"/>
      <c r="F2" s="1"/>
    </row>
    <row r="3" spans="1:6" ht="15.95" customHeight="1" x14ac:dyDescent="0.25">
      <c r="A3" s="1"/>
      <c r="B3" s="539" t="s">
        <v>417</v>
      </c>
      <c r="C3" s="539"/>
      <c r="D3" s="539"/>
      <c r="E3" s="539"/>
      <c r="F3" s="539"/>
    </row>
    <row r="4" spans="1:6" ht="15.95" customHeight="1" x14ac:dyDescent="0.25">
      <c r="A4" s="1"/>
      <c r="B4" s="539" t="s">
        <v>280</v>
      </c>
      <c r="C4" s="539"/>
      <c r="D4" s="539"/>
      <c r="E4" s="539"/>
      <c r="F4" s="539"/>
    </row>
    <row r="5" spans="1:6" ht="15.95" customHeight="1" x14ac:dyDescent="0.25">
      <c r="A5" s="1"/>
      <c r="B5" s="539" t="s">
        <v>454</v>
      </c>
      <c r="C5" s="539"/>
      <c r="D5" s="539"/>
      <c r="E5" s="539"/>
      <c r="F5" s="539"/>
    </row>
    <row r="6" spans="1:6" ht="15.95" customHeight="1" x14ac:dyDescent="0.25">
      <c r="A6" s="1"/>
      <c r="B6" s="563">
        <v>45626</v>
      </c>
      <c r="C6" s="563"/>
      <c r="D6" s="563"/>
      <c r="E6" s="563"/>
      <c r="F6" s="563"/>
    </row>
    <row r="7" spans="1:6" ht="15.95" customHeight="1" x14ac:dyDescent="0.25">
      <c r="A7" s="1"/>
      <c r="B7" s="1"/>
      <c r="C7" s="1"/>
      <c r="D7" s="1"/>
      <c r="E7" s="1"/>
      <c r="F7" s="1"/>
    </row>
    <row r="8" spans="1:6" ht="21.75" customHeight="1" x14ac:dyDescent="0.25">
      <c r="A8" s="1"/>
      <c r="B8" s="540" t="s">
        <v>455</v>
      </c>
      <c r="C8" s="540"/>
      <c r="D8" s="540"/>
      <c r="E8" s="540"/>
      <c r="F8" s="540"/>
    </row>
    <row r="9" spans="1:6" ht="21.75" customHeight="1" x14ac:dyDescent="0.25">
      <c r="A9" s="1"/>
      <c r="B9" s="540" t="s">
        <v>456</v>
      </c>
      <c r="C9" s="540"/>
      <c r="D9" s="540"/>
      <c r="E9" s="540"/>
      <c r="F9" s="540"/>
    </row>
    <row r="10" spans="1:6" ht="21.75" customHeight="1" x14ac:dyDescent="0.25">
      <c r="A10" s="1"/>
      <c r="B10" s="540" t="s">
        <v>457</v>
      </c>
      <c r="C10" s="540"/>
      <c r="D10" s="540"/>
      <c r="E10" s="540"/>
      <c r="F10" s="540"/>
    </row>
    <row r="11" spans="1:6" ht="15.95" customHeight="1" thickBot="1" x14ac:dyDescent="0.3">
      <c r="A11" s="1"/>
      <c r="B11" s="1"/>
      <c r="C11" s="1"/>
      <c r="D11" s="1"/>
      <c r="E11" s="1"/>
      <c r="F11" s="1"/>
    </row>
    <row r="12" spans="1:6" ht="23.25" customHeight="1" thickBot="1" x14ac:dyDescent="0.3">
      <c r="A12" s="1"/>
      <c r="B12" s="195" t="s">
        <v>367</v>
      </c>
      <c r="C12" s="196"/>
      <c r="D12" s="196" t="s">
        <v>458</v>
      </c>
      <c r="E12" s="196"/>
      <c r="F12" s="197" t="s">
        <v>435</v>
      </c>
    </row>
    <row r="13" spans="1:6" ht="22.5" customHeight="1" x14ac:dyDescent="0.4">
      <c r="A13" s="1"/>
      <c r="B13" s="198" t="s">
        <v>459</v>
      </c>
      <c r="C13" s="199"/>
      <c r="D13" s="200" t="s">
        <v>460</v>
      </c>
      <c r="E13" s="199"/>
      <c r="F13" s="201">
        <v>1685800</v>
      </c>
    </row>
    <row r="14" spans="1:6" ht="23.25" customHeight="1" thickBot="1" x14ac:dyDescent="0.45">
      <c r="A14" s="1"/>
      <c r="B14" s="202" t="s">
        <v>360</v>
      </c>
      <c r="C14" s="203"/>
      <c r="D14" s="203"/>
      <c r="E14" s="203"/>
      <c r="F14" s="204">
        <f>SUM(F13:F13)</f>
        <v>1685800</v>
      </c>
    </row>
    <row r="15" spans="1:6" ht="15.95" customHeight="1" thickBot="1" x14ac:dyDescent="0.3">
      <c r="A15" s="1"/>
      <c r="B15" s="1"/>
      <c r="C15" s="1"/>
      <c r="D15" s="1"/>
      <c r="E15" s="1"/>
      <c r="F15" s="1"/>
    </row>
    <row r="16" spans="1:6" ht="24" customHeight="1" thickBot="1" x14ac:dyDescent="0.3">
      <c r="A16" s="1"/>
      <c r="B16" s="195" t="s">
        <v>365</v>
      </c>
      <c r="C16" s="196" t="s">
        <v>461</v>
      </c>
      <c r="D16" s="196"/>
      <c r="E16" s="196" t="s">
        <v>462</v>
      </c>
      <c r="F16" s="197" t="s">
        <v>366</v>
      </c>
    </row>
    <row r="17" spans="1:6" ht="18" customHeight="1" x14ac:dyDescent="0.25">
      <c r="A17" s="1"/>
      <c r="B17" s="205" t="s">
        <v>463</v>
      </c>
      <c r="C17" s="199" t="s">
        <v>464</v>
      </c>
      <c r="D17" s="199"/>
      <c r="E17" s="206">
        <v>45367</v>
      </c>
      <c r="F17" s="207">
        <v>1685800</v>
      </c>
    </row>
    <row r="18" spans="1:6" ht="18.75" customHeight="1" x14ac:dyDescent="0.4">
      <c r="A18" s="1"/>
      <c r="B18" s="208"/>
      <c r="C18" s="209"/>
      <c r="D18" s="209"/>
      <c r="E18" s="210"/>
      <c r="F18" s="211"/>
    </row>
    <row r="19" spans="1:6" ht="15.95" customHeight="1" x14ac:dyDescent="0.25">
      <c r="A19" s="1"/>
      <c r="B19" s="1"/>
      <c r="C19" s="1"/>
      <c r="D19" s="1"/>
      <c r="E19" s="1"/>
      <c r="F19" s="1"/>
    </row>
    <row r="20" spans="1:6" ht="15.95" customHeight="1" x14ac:dyDescent="0.25">
      <c r="A20" s="1"/>
      <c r="B20" s="191" t="s">
        <v>450</v>
      </c>
      <c r="C20" s="191"/>
      <c r="D20" s="191"/>
      <c r="E20" s="191"/>
      <c r="F20" s="192">
        <f>+F17/12</f>
        <v>140483.33333333334</v>
      </c>
    </row>
    <row r="21" spans="1:6" ht="15.95" customHeight="1" x14ac:dyDescent="0.25">
      <c r="A21" s="1"/>
      <c r="B21" s="1"/>
      <c r="C21" s="1"/>
      <c r="D21" s="1"/>
      <c r="E21" s="1"/>
      <c r="F21" s="2"/>
    </row>
    <row r="22" spans="1:6" ht="15.95" customHeight="1" x14ac:dyDescent="0.25">
      <c r="A22" s="1"/>
      <c r="B22" s="19" t="s">
        <v>465</v>
      </c>
      <c r="C22" s="19" t="s">
        <v>466</v>
      </c>
      <c r="D22" s="2">
        <f>+F20</f>
        <v>140483.33333333334</v>
      </c>
      <c r="E22" s="25" t="s">
        <v>467</v>
      </c>
      <c r="F22" s="2">
        <f>+D22*10-0.01</f>
        <v>1404833.3233333335</v>
      </c>
    </row>
    <row r="23" spans="1:6" ht="15.95" customHeight="1" x14ac:dyDescent="0.25">
      <c r="A23" s="1"/>
      <c r="B23" s="19"/>
      <c r="C23" s="19"/>
      <c r="D23" s="2"/>
      <c r="E23" s="19"/>
      <c r="F23" s="2"/>
    </row>
    <row r="24" spans="1:6" ht="15.95" customHeight="1" x14ac:dyDescent="0.25">
      <c r="A24" s="1"/>
      <c r="B24" s="19" t="s">
        <v>468</v>
      </c>
      <c r="C24" s="19" t="s">
        <v>469</v>
      </c>
      <c r="D24" s="2">
        <f>+F20</f>
        <v>140483.33333333334</v>
      </c>
      <c r="E24" s="25" t="s">
        <v>470</v>
      </c>
      <c r="F24" s="2">
        <f>+F17-F22</f>
        <v>280966.67666666652</v>
      </c>
    </row>
    <row r="25" spans="1:6" ht="15.95" customHeight="1" x14ac:dyDescent="0.25">
      <c r="A25" s="1"/>
      <c r="B25" s="1"/>
      <c r="C25" s="19"/>
      <c r="D25" s="2"/>
      <c r="E25" s="1"/>
      <c r="F25" s="1"/>
    </row>
    <row r="26" spans="1:6" ht="15.95" customHeight="1" x14ac:dyDescent="0.25">
      <c r="A26" s="1"/>
      <c r="B26" s="1"/>
      <c r="C26" s="19"/>
      <c r="D26" s="2"/>
      <c r="E26" s="1"/>
      <c r="F26" s="1"/>
    </row>
    <row r="27" spans="1:6" ht="15.95" customHeight="1" x14ac:dyDescent="0.25">
      <c r="A27" s="1"/>
      <c r="B27" s="1"/>
      <c r="C27" s="19"/>
      <c r="D27" s="2"/>
      <c r="E27" s="1"/>
      <c r="F27" s="1"/>
    </row>
    <row r="28" spans="1:6" ht="18" customHeight="1" x14ac:dyDescent="0.25">
      <c r="A28" s="1"/>
      <c r="B28" s="68" t="s">
        <v>471</v>
      </c>
      <c r="C28" s="68"/>
      <c r="D28" s="68"/>
      <c r="E28" s="68"/>
      <c r="F28" s="2">
        <v>140483.32999999999</v>
      </c>
    </row>
    <row r="29" spans="1:6" ht="18" customHeight="1" x14ac:dyDescent="0.25">
      <c r="A29" s="1"/>
      <c r="B29" s="68" t="s">
        <v>472</v>
      </c>
      <c r="C29" s="68"/>
      <c r="D29" s="68"/>
      <c r="E29" s="68"/>
      <c r="F29" s="2">
        <v>140483.32999999999</v>
      </c>
    </row>
    <row r="30" spans="1:6" ht="18" customHeight="1" x14ac:dyDescent="0.25">
      <c r="A30" s="1"/>
      <c r="B30" s="68" t="s">
        <v>473</v>
      </c>
      <c r="C30" s="3"/>
      <c r="D30" s="3"/>
      <c r="E30" s="3"/>
      <c r="F30" s="2">
        <v>140483.32999999999</v>
      </c>
    </row>
    <row r="31" spans="1:6" ht="18" customHeight="1" x14ac:dyDescent="0.25">
      <c r="A31" s="1"/>
      <c r="B31" s="1" t="s">
        <v>474</v>
      </c>
      <c r="C31" s="3"/>
      <c r="D31" s="3"/>
      <c r="E31" s="3"/>
      <c r="F31" s="2">
        <v>140483.32999999999</v>
      </c>
    </row>
    <row r="32" spans="1:6" ht="18" customHeight="1" x14ac:dyDescent="0.25">
      <c r="A32" s="1"/>
      <c r="B32" s="1" t="s">
        <v>475</v>
      </c>
      <c r="C32" s="3"/>
      <c r="D32" s="3"/>
      <c r="E32" s="3"/>
      <c r="F32" s="2">
        <v>140483.32999999999</v>
      </c>
    </row>
    <row r="33" spans="1:7" ht="18" customHeight="1" x14ac:dyDescent="0.25">
      <c r="A33" s="1"/>
      <c r="B33" s="1" t="s">
        <v>476</v>
      </c>
      <c r="C33" s="68"/>
      <c r="D33" s="68"/>
      <c r="E33" s="68"/>
      <c r="F33" s="2">
        <v>140483.32999999999</v>
      </c>
    </row>
    <row r="34" spans="1:7" ht="18" customHeight="1" x14ac:dyDescent="0.25">
      <c r="A34" s="1"/>
      <c r="B34" s="1" t="s">
        <v>477</v>
      </c>
      <c r="C34" s="68"/>
      <c r="D34" s="68"/>
      <c r="E34" s="68"/>
      <c r="F34" s="2">
        <v>140483.32</v>
      </c>
    </row>
    <row r="35" spans="1:7" ht="18" customHeight="1" x14ac:dyDescent="0.25">
      <c r="A35" s="1"/>
      <c r="B35" s="1" t="s">
        <v>478</v>
      </c>
      <c r="C35" s="68"/>
      <c r="D35" s="68"/>
      <c r="E35" s="68"/>
      <c r="F35" s="2">
        <v>140483.32999999999</v>
      </c>
    </row>
    <row r="36" spans="1:7" ht="18" customHeight="1" x14ac:dyDescent="0.4">
      <c r="A36" s="1"/>
      <c r="B36" s="3" t="s">
        <v>479</v>
      </c>
      <c r="C36" s="1"/>
      <c r="D36" s="1"/>
      <c r="E36" s="1"/>
      <c r="F36" s="212">
        <v>140483.32999999999</v>
      </c>
    </row>
    <row r="37" spans="1:7" ht="18" hidden="1" customHeight="1" x14ac:dyDescent="0.25">
      <c r="A37" s="1"/>
      <c r="B37" s="1" t="s">
        <v>480</v>
      </c>
      <c r="C37" s="68"/>
      <c r="D37" s="68"/>
      <c r="E37" s="68"/>
      <c r="F37" s="56"/>
    </row>
    <row r="38" spans="1:7" ht="18" hidden="1" customHeight="1" x14ac:dyDescent="0.25">
      <c r="A38" s="1"/>
      <c r="B38" s="1" t="s">
        <v>481</v>
      </c>
      <c r="C38" s="68"/>
      <c r="D38" s="68"/>
      <c r="E38" s="68"/>
      <c r="F38" s="56"/>
    </row>
    <row r="39" spans="1:7" ht="18" hidden="1" x14ac:dyDescent="0.4">
      <c r="A39" s="1"/>
      <c r="B39" s="1" t="s">
        <v>482</v>
      </c>
      <c r="C39" s="1"/>
      <c r="D39" s="1"/>
      <c r="E39" s="1"/>
      <c r="F39" s="101"/>
    </row>
    <row r="40" spans="1:7" ht="15.75" hidden="1" customHeight="1" x14ac:dyDescent="0.25">
      <c r="A40" s="1"/>
      <c r="B40" s="1" t="s">
        <v>483</v>
      </c>
      <c r="C40" s="68"/>
      <c r="D40" s="68"/>
      <c r="E40" s="68"/>
      <c r="F40" s="2"/>
    </row>
    <row r="41" spans="1:7" ht="15.75" customHeight="1" x14ac:dyDescent="0.25">
      <c r="A41" s="1"/>
      <c r="B41" s="1"/>
      <c r="C41" s="68"/>
      <c r="D41" s="68"/>
      <c r="E41" s="68"/>
      <c r="F41" s="2"/>
    </row>
    <row r="42" spans="1:7" ht="18" customHeight="1" x14ac:dyDescent="0.25">
      <c r="A42" s="1"/>
      <c r="B42" s="142" t="s">
        <v>127</v>
      </c>
      <c r="C42" s="68"/>
      <c r="D42" s="68"/>
      <c r="E42" s="68"/>
      <c r="F42" s="66">
        <f>SUM(F28:F40)+0</f>
        <v>1264349.96</v>
      </c>
      <c r="G42" s="20"/>
    </row>
    <row r="43" spans="1:7" ht="15.95" customHeight="1" x14ac:dyDescent="0.25">
      <c r="A43" s="1"/>
      <c r="B43" s="68"/>
      <c r="C43" s="68"/>
      <c r="D43" s="68"/>
      <c r="E43" s="68"/>
      <c r="F43" s="56"/>
    </row>
    <row r="44" spans="1:7" ht="23.25" customHeight="1" x14ac:dyDescent="0.4">
      <c r="A44" s="1"/>
      <c r="B44" s="142" t="s">
        <v>453</v>
      </c>
      <c r="C44" s="142"/>
      <c r="D44" s="142"/>
      <c r="E44" s="142"/>
      <c r="F44" s="213">
        <f>+F14-F42</f>
        <v>421450.04000000004</v>
      </c>
      <c r="G44" s="335"/>
    </row>
    <row r="45" spans="1:7" ht="15.95" customHeight="1" x14ac:dyDescent="0.25">
      <c r="A45" s="1"/>
      <c r="B45" s="68"/>
      <c r="C45" s="68"/>
      <c r="D45" s="68"/>
      <c r="E45" s="68"/>
      <c r="F45" s="56"/>
    </row>
    <row r="46" spans="1:7" ht="24.75" customHeight="1" x14ac:dyDescent="0.25">
      <c r="A46" s="1"/>
      <c r="B46" s="68"/>
      <c r="C46" s="68" t="s">
        <v>484</v>
      </c>
      <c r="D46" s="214">
        <f>+F35</f>
        <v>140483.32999999999</v>
      </c>
      <c r="E46" s="68"/>
    </row>
    <row r="47" spans="1:7" ht="24.75" customHeight="1" x14ac:dyDescent="0.25">
      <c r="A47" s="1"/>
      <c r="B47" s="68"/>
      <c r="C47" s="215" t="s">
        <v>485</v>
      </c>
      <c r="D47" s="216">
        <f>+'NOTA 5 LICENCIAS JIRA'!F31</f>
        <v>75000</v>
      </c>
      <c r="E47" s="68"/>
    </row>
    <row r="48" spans="1:7" ht="24.75" customHeight="1" x14ac:dyDescent="0.25">
      <c r="C48" s="215" t="s">
        <v>486</v>
      </c>
      <c r="D48" s="216">
        <f>+'NOTA 5 Licencias Adobe'!F30</f>
        <v>27433.334166666667</v>
      </c>
      <c r="F48" s="217">
        <f>+F44+F35</f>
        <v>561933.37</v>
      </c>
    </row>
    <row r="49" spans="3:6" ht="24.75" customHeight="1" thickBot="1" x14ac:dyDescent="0.3">
      <c r="C49" s="215" t="s">
        <v>300</v>
      </c>
      <c r="D49" s="218">
        <f>SUM(D46:D48)</f>
        <v>242916.66416666665</v>
      </c>
      <c r="F49" s="217"/>
    </row>
    <row r="50" spans="3:6" ht="24.75" customHeight="1" thickTop="1" x14ac:dyDescent="0.25">
      <c r="F50" s="217"/>
    </row>
    <row r="51" spans="3:6" ht="24.75" customHeight="1" x14ac:dyDescent="0.25">
      <c r="D51" s="219">
        <v>329200.01</v>
      </c>
      <c r="F51" s="217"/>
    </row>
    <row r="52" spans="3:6" ht="24.75" customHeight="1" x14ac:dyDescent="0.25">
      <c r="F52" s="219"/>
    </row>
    <row r="53" spans="3:6" ht="24.75" customHeight="1" x14ac:dyDescent="0.25">
      <c r="D53" s="217">
        <f>+D49+D51</f>
        <v>572116.67416666669</v>
      </c>
      <c r="F53" s="217"/>
    </row>
    <row r="54" spans="3:6" ht="24.75" customHeight="1" x14ac:dyDescent="0.25">
      <c r="F54" s="219"/>
    </row>
    <row r="56" spans="3:6" ht="24.75" customHeight="1" x14ac:dyDescent="0.25">
      <c r="D56" s="217"/>
    </row>
    <row r="57" spans="3:6" ht="24.75" customHeight="1" x14ac:dyDescent="0.25">
      <c r="D57" s="217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35" type="noConversion"/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topLeftCell="A22" workbookViewId="0">
      <selection activeCell="C14" sqref="C14"/>
    </sheetView>
  </sheetViews>
  <sheetFormatPr baseColWidth="10" defaultColWidth="11.42578125" defaultRowHeight="12.75" x14ac:dyDescent="0.2"/>
  <cols>
    <col min="1" max="1" width="2.5703125" style="138" customWidth="1"/>
    <col min="2" max="2" width="34.7109375" style="138" bestFit="1" customWidth="1"/>
    <col min="3" max="3" width="27.85546875" style="138" bestFit="1" customWidth="1"/>
    <col min="4" max="4" width="14.140625" style="138" bestFit="1" customWidth="1"/>
    <col min="5" max="5" width="11.42578125" style="138"/>
    <col min="6" max="6" width="16.42578125" style="138" bestFit="1" customWidth="1"/>
    <col min="7" max="16384" width="11.42578125" style="138"/>
  </cols>
  <sheetData>
    <row r="5" spans="2:6" ht="18.75" x14ac:dyDescent="0.3">
      <c r="B5" s="535" t="s">
        <v>417</v>
      </c>
      <c r="C5" s="535"/>
      <c r="D5" s="535"/>
      <c r="E5" s="535"/>
      <c r="F5" s="535"/>
    </row>
    <row r="6" spans="2:6" ht="18.75" x14ac:dyDescent="0.3">
      <c r="B6" s="535" t="s">
        <v>280</v>
      </c>
      <c r="C6" s="535"/>
      <c r="D6" s="535"/>
      <c r="E6" s="535"/>
      <c r="F6" s="535"/>
    </row>
    <row r="7" spans="2:6" ht="15.75" x14ac:dyDescent="0.25">
      <c r="B7" s="539" t="s">
        <v>421</v>
      </c>
      <c r="C7" s="539"/>
      <c r="D7" s="539"/>
      <c r="E7" s="539"/>
      <c r="F7" s="539"/>
    </row>
    <row r="8" spans="2:6" ht="15.75" x14ac:dyDescent="0.25">
      <c r="B8" s="563">
        <v>45626</v>
      </c>
      <c r="C8" s="563"/>
      <c r="D8" s="563"/>
      <c r="E8" s="563"/>
      <c r="F8" s="563"/>
    </row>
    <row r="9" spans="2:6" ht="15.75" x14ac:dyDescent="0.25">
      <c r="B9" s="1"/>
      <c r="C9" s="1"/>
      <c r="D9" s="1"/>
      <c r="E9" s="1"/>
      <c r="F9" s="1"/>
    </row>
    <row r="10" spans="2:6" ht="15.75" x14ac:dyDescent="0.25">
      <c r="B10" s="540" t="s">
        <v>487</v>
      </c>
      <c r="C10" s="540"/>
      <c r="D10" s="540"/>
      <c r="E10" s="540"/>
      <c r="F10" s="540"/>
    </row>
    <row r="11" spans="2:6" ht="15.75" x14ac:dyDescent="0.25">
      <c r="B11" s="540" t="s">
        <v>488</v>
      </c>
      <c r="C11" s="540"/>
      <c r="D11" s="540"/>
      <c r="E11" s="540"/>
      <c r="F11" s="540"/>
    </row>
    <row r="12" spans="2:6" ht="15.75" x14ac:dyDescent="0.25">
      <c r="B12" s="540" t="s">
        <v>489</v>
      </c>
      <c r="C12" s="540"/>
      <c r="D12" s="540"/>
      <c r="E12" s="540"/>
      <c r="F12" s="540"/>
    </row>
    <row r="13" spans="2:6" ht="16.5" thickBot="1" x14ac:dyDescent="0.3">
      <c r="B13" s="1"/>
      <c r="C13" s="1"/>
      <c r="D13" s="1"/>
      <c r="E13" s="1"/>
      <c r="F13" s="1"/>
    </row>
    <row r="14" spans="2:6" ht="16.5" thickBot="1" x14ac:dyDescent="0.3">
      <c r="B14" s="195" t="s">
        <v>367</v>
      </c>
      <c r="C14" s="196"/>
      <c r="D14" s="196" t="s">
        <v>458</v>
      </c>
      <c r="E14" s="196"/>
      <c r="F14" s="197" t="s">
        <v>435</v>
      </c>
    </row>
    <row r="15" spans="2:6" ht="20.25" customHeight="1" x14ac:dyDescent="0.4">
      <c r="B15" s="220" t="s">
        <v>490</v>
      </c>
      <c r="C15" s="199"/>
      <c r="D15" s="200" t="s">
        <v>460</v>
      </c>
      <c r="E15" s="199"/>
      <c r="F15" s="201">
        <v>900000</v>
      </c>
    </row>
    <row r="16" spans="2:6" ht="18.75" thickBot="1" x14ac:dyDescent="0.45">
      <c r="B16" s="202" t="s">
        <v>360</v>
      </c>
      <c r="C16" s="203"/>
      <c r="D16" s="203"/>
      <c r="E16" s="203"/>
      <c r="F16" s="204">
        <f>SUM(F15:F15)</f>
        <v>900000</v>
      </c>
    </row>
    <row r="17" spans="2:6" ht="16.5" thickBot="1" x14ac:dyDescent="0.3">
      <c r="B17" s="1"/>
      <c r="C17" s="1"/>
      <c r="D17" s="1"/>
      <c r="E17" s="1"/>
      <c r="F17" s="1"/>
    </row>
    <row r="18" spans="2:6" ht="16.5" thickBot="1" x14ac:dyDescent="0.3">
      <c r="B18" s="195" t="s">
        <v>365</v>
      </c>
      <c r="C18" s="196" t="s">
        <v>461</v>
      </c>
      <c r="D18" s="196"/>
      <c r="E18" s="196" t="s">
        <v>462</v>
      </c>
      <c r="F18" s="197" t="s">
        <v>366</v>
      </c>
    </row>
    <row r="19" spans="2:6" ht="15.75" x14ac:dyDescent="0.25">
      <c r="B19" s="222" t="s">
        <v>491</v>
      </c>
      <c r="C19" s="223" t="s">
        <v>492</v>
      </c>
      <c r="D19" s="224"/>
      <c r="E19" s="225">
        <v>45510</v>
      </c>
      <c r="F19" s="226">
        <v>900000</v>
      </c>
    </row>
    <row r="20" spans="2:6" ht="18.75" thickBot="1" x14ac:dyDescent="0.45">
      <c r="B20" s="227"/>
      <c r="C20" s="228"/>
      <c r="D20" s="228"/>
      <c r="E20" s="229"/>
      <c r="F20" s="230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91" t="s">
        <v>450</v>
      </c>
      <c r="C22" s="191"/>
      <c r="D22" s="191"/>
      <c r="E22" s="191"/>
      <c r="F22" s="192">
        <f>+F19/12</f>
        <v>75000</v>
      </c>
    </row>
    <row r="23" spans="2:6" ht="15.75" x14ac:dyDescent="0.25">
      <c r="B23" s="1"/>
      <c r="C23" s="1"/>
      <c r="D23" s="1"/>
      <c r="E23" s="1"/>
      <c r="F23" s="2"/>
    </row>
    <row r="24" spans="2:6" ht="15.75" x14ac:dyDescent="0.25">
      <c r="B24" s="221" t="s">
        <v>493</v>
      </c>
      <c r="C24" s="19" t="s">
        <v>494</v>
      </c>
      <c r="D24" s="2">
        <f>+F22</f>
        <v>75000</v>
      </c>
      <c r="E24" s="25" t="s">
        <v>495</v>
      </c>
      <c r="F24" s="2">
        <f>+D24*5</f>
        <v>375000</v>
      </c>
    </row>
    <row r="25" spans="2:6" ht="15.75" x14ac:dyDescent="0.25">
      <c r="B25" s="19"/>
      <c r="C25" s="19"/>
      <c r="D25" s="2"/>
      <c r="E25" s="19"/>
      <c r="F25" s="2"/>
    </row>
    <row r="26" spans="2:6" ht="15.75" x14ac:dyDescent="0.25">
      <c r="B26" s="221" t="s">
        <v>496</v>
      </c>
      <c r="C26" s="19" t="s">
        <v>497</v>
      </c>
      <c r="D26" s="2">
        <f>+F22</f>
        <v>75000</v>
      </c>
      <c r="E26" s="25" t="s">
        <v>498</v>
      </c>
      <c r="F26" s="2">
        <f>+D26*7</f>
        <v>525000</v>
      </c>
    </row>
    <row r="27" spans="2:6" ht="15.75" x14ac:dyDescent="0.25">
      <c r="B27" s="1"/>
      <c r="C27" s="19"/>
      <c r="D27" s="2"/>
      <c r="E27" s="1"/>
      <c r="F27" s="1"/>
    </row>
    <row r="28" spans="2:6" ht="15.75" x14ac:dyDescent="0.25">
      <c r="B28" s="1"/>
      <c r="C28" s="19"/>
      <c r="D28" s="2"/>
      <c r="E28" s="1"/>
      <c r="F28" s="1"/>
    </row>
    <row r="29" spans="2:6" ht="15.75" x14ac:dyDescent="0.25">
      <c r="B29" s="1" t="s">
        <v>476</v>
      </c>
      <c r="C29" s="19"/>
      <c r="D29" s="2"/>
      <c r="E29" s="1"/>
      <c r="F29" s="2">
        <v>75000</v>
      </c>
    </row>
    <row r="30" spans="2:6" ht="15.75" x14ac:dyDescent="0.25">
      <c r="B30" s="68" t="s">
        <v>499</v>
      </c>
      <c r="C30" s="68"/>
      <c r="D30" s="68"/>
      <c r="E30" s="68"/>
      <c r="F30" s="2">
        <v>75000</v>
      </c>
    </row>
    <row r="31" spans="2:6" ht="15.75" x14ac:dyDescent="0.25">
      <c r="B31" s="1" t="s">
        <v>500</v>
      </c>
      <c r="C31" s="68"/>
      <c r="D31" s="68"/>
      <c r="E31" s="68"/>
      <c r="F31" s="2">
        <v>75000</v>
      </c>
    </row>
    <row r="32" spans="2:6" ht="18" x14ac:dyDescent="0.4">
      <c r="B32" s="3" t="s">
        <v>501</v>
      </c>
      <c r="C32" s="3"/>
      <c r="D32" s="3"/>
      <c r="E32" s="3"/>
      <c r="F32" s="212">
        <v>75000</v>
      </c>
    </row>
    <row r="33" spans="2:6" ht="15.75" hidden="1" x14ac:dyDescent="0.25">
      <c r="B33" s="1" t="s">
        <v>502</v>
      </c>
      <c r="C33" s="3"/>
      <c r="D33" s="3"/>
      <c r="E33" s="3"/>
      <c r="F33" s="2"/>
    </row>
    <row r="34" spans="2:6" ht="15.75" hidden="1" x14ac:dyDescent="0.25">
      <c r="B34" s="1" t="s">
        <v>503</v>
      </c>
      <c r="C34" s="3"/>
      <c r="D34" s="3"/>
      <c r="E34" s="3"/>
      <c r="F34" s="2"/>
    </row>
    <row r="35" spans="2:6" ht="15.75" hidden="1" x14ac:dyDescent="0.25">
      <c r="B35" s="1" t="s">
        <v>482</v>
      </c>
      <c r="C35" s="68"/>
      <c r="D35" s="68"/>
      <c r="E35" s="68"/>
      <c r="F35" s="2"/>
    </row>
    <row r="36" spans="2:6" ht="15.75" hidden="1" x14ac:dyDescent="0.25">
      <c r="B36" s="1" t="s">
        <v>504</v>
      </c>
      <c r="C36" s="68"/>
      <c r="D36" s="68"/>
      <c r="E36" s="68"/>
      <c r="F36" s="2"/>
    </row>
    <row r="37" spans="2:6" ht="15.75" hidden="1" x14ac:dyDescent="0.25">
      <c r="B37" s="1" t="s">
        <v>505</v>
      </c>
      <c r="C37" s="68"/>
      <c r="D37" s="68"/>
      <c r="E37" s="68"/>
      <c r="F37" s="2"/>
    </row>
    <row r="38" spans="2:6" ht="15.75" hidden="1" x14ac:dyDescent="0.25">
      <c r="B38" s="1" t="s">
        <v>506</v>
      </c>
      <c r="C38" s="68"/>
      <c r="D38" s="68"/>
      <c r="E38" s="68"/>
      <c r="F38" s="2"/>
    </row>
    <row r="39" spans="2:6" ht="15.75" hidden="1" x14ac:dyDescent="0.25">
      <c r="B39" s="1" t="s">
        <v>507</v>
      </c>
      <c r="C39" s="68"/>
      <c r="D39" s="68"/>
      <c r="E39" s="68"/>
      <c r="F39" s="2"/>
    </row>
    <row r="40" spans="2:6" ht="15.75" hidden="1" x14ac:dyDescent="0.25">
      <c r="B40" s="68" t="s">
        <v>508</v>
      </c>
      <c r="C40" s="1"/>
      <c r="D40" s="1"/>
      <c r="E40" s="1"/>
      <c r="F40" s="2"/>
    </row>
    <row r="41" spans="2:6" ht="15.75" x14ac:dyDescent="0.25">
      <c r="B41" s="142" t="s">
        <v>127</v>
      </c>
      <c r="C41" s="68"/>
      <c r="D41" s="68"/>
      <c r="E41" s="68"/>
      <c r="F41" s="66">
        <f>SUM(F29:F40)+0</f>
        <v>300000</v>
      </c>
    </row>
    <row r="42" spans="2:6" ht="15.75" x14ac:dyDescent="0.25">
      <c r="B42" s="68"/>
      <c r="C42" s="68"/>
      <c r="D42" s="68"/>
      <c r="E42" s="68"/>
      <c r="F42" s="56"/>
    </row>
    <row r="43" spans="2:6" ht="18" x14ac:dyDescent="0.4">
      <c r="B43" s="142" t="s">
        <v>453</v>
      </c>
      <c r="C43" s="142"/>
      <c r="D43" s="142"/>
      <c r="E43" s="142"/>
      <c r="F43" s="403">
        <f>+F16-F41</f>
        <v>600000</v>
      </c>
    </row>
    <row r="44" spans="2:6" ht="15.75" x14ac:dyDescent="0.25">
      <c r="B44" s="68"/>
      <c r="C44" s="68"/>
      <c r="D44" s="68"/>
      <c r="E44" s="68"/>
      <c r="F44" s="56"/>
    </row>
    <row r="47" spans="2:6" x14ac:dyDescent="0.2">
      <c r="F47" s="163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7"/>
  <sheetViews>
    <sheetView topLeftCell="A23" workbookViewId="0">
      <selection activeCell="C14" sqref="C14"/>
    </sheetView>
  </sheetViews>
  <sheetFormatPr baseColWidth="10" defaultColWidth="11.42578125" defaultRowHeight="12.75" x14ac:dyDescent="0.2"/>
  <cols>
    <col min="1" max="1" width="2.5703125" style="138" customWidth="1"/>
    <col min="2" max="2" width="34.7109375" style="138" bestFit="1" customWidth="1"/>
    <col min="3" max="3" width="27.85546875" style="138" bestFit="1" customWidth="1"/>
    <col min="4" max="4" width="14.140625" style="138" bestFit="1" customWidth="1"/>
    <col min="5" max="5" width="11.42578125" style="138"/>
    <col min="6" max="6" width="17" style="138" bestFit="1" customWidth="1"/>
    <col min="7" max="16384" width="11.42578125" style="138"/>
  </cols>
  <sheetData>
    <row r="5" spans="2:6" ht="18.75" x14ac:dyDescent="0.3">
      <c r="B5" s="535" t="s">
        <v>417</v>
      </c>
      <c r="C5" s="535"/>
      <c r="D5" s="535"/>
      <c r="E5" s="535"/>
      <c r="F5" s="535"/>
    </row>
    <row r="6" spans="2:6" ht="18.75" x14ac:dyDescent="0.3">
      <c r="B6" s="535" t="s">
        <v>280</v>
      </c>
      <c r="C6" s="535"/>
      <c r="D6" s="535"/>
      <c r="E6" s="535"/>
      <c r="F6" s="535"/>
    </row>
    <row r="7" spans="2:6" ht="15.75" x14ac:dyDescent="0.25">
      <c r="B7" s="539" t="s">
        <v>422</v>
      </c>
      <c r="C7" s="539"/>
      <c r="D7" s="539"/>
      <c r="E7" s="539"/>
      <c r="F7" s="539"/>
    </row>
    <row r="8" spans="2:6" ht="15.75" x14ac:dyDescent="0.25">
      <c r="B8" s="563">
        <v>45626</v>
      </c>
      <c r="C8" s="563"/>
      <c r="D8" s="563"/>
      <c r="E8" s="563"/>
      <c r="F8" s="563"/>
    </row>
    <row r="9" spans="2:6" ht="15.75" x14ac:dyDescent="0.25">
      <c r="B9" s="1"/>
      <c r="C9" s="1"/>
      <c r="D9" s="1"/>
      <c r="E9" s="1"/>
      <c r="F9" s="1"/>
    </row>
    <row r="10" spans="2:6" ht="15.75" x14ac:dyDescent="0.25">
      <c r="B10" s="565" t="s">
        <v>487</v>
      </c>
      <c r="C10" s="565"/>
      <c r="D10" s="565"/>
      <c r="E10" s="565"/>
      <c r="F10" s="565"/>
    </row>
    <row r="11" spans="2:6" ht="15.75" x14ac:dyDescent="0.25">
      <c r="B11" s="540" t="s">
        <v>456</v>
      </c>
      <c r="C11" s="540"/>
      <c r="D11" s="540"/>
      <c r="E11" s="540"/>
      <c r="F11" s="540"/>
    </row>
    <row r="12" spans="2:6" ht="15.75" x14ac:dyDescent="0.25">
      <c r="B12" s="564" t="s">
        <v>509</v>
      </c>
      <c r="C12" s="564"/>
      <c r="D12" s="564"/>
      <c r="E12" s="564"/>
      <c r="F12" s="564"/>
    </row>
    <row r="13" spans="2:6" ht="16.5" thickBot="1" x14ac:dyDescent="0.3">
      <c r="B13" s="1"/>
      <c r="C13" s="1"/>
      <c r="D13" s="1"/>
      <c r="E13" s="1"/>
      <c r="F13" s="1"/>
    </row>
    <row r="14" spans="2:6" ht="16.5" thickBot="1" x14ac:dyDescent="0.3">
      <c r="B14" s="195" t="s">
        <v>367</v>
      </c>
      <c r="C14" s="196"/>
      <c r="D14" s="196" t="s">
        <v>458</v>
      </c>
      <c r="E14" s="196"/>
      <c r="F14" s="197" t="s">
        <v>435</v>
      </c>
    </row>
    <row r="15" spans="2:6" ht="20.25" customHeight="1" x14ac:dyDescent="0.4">
      <c r="B15" s="220" t="s">
        <v>490</v>
      </c>
      <c r="C15" s="199"/>
      <c r="D15" s="200" t="s">
        <v>460</v>
      </c>
      <c r="E15" s="199"/>
      <c r="F15" s="201">
        <v>1445000</v>
      </c>
    </row>
    <row r="16" spans="2:6" ht="18.75" thickBot="1" x14ac:dyDescent="0.45">
      <c r="B16" s="202" t="s">
        <v>360</v>
      </c>
      <c r="C16" s="203"/>
      <c r="D16" s="203"/>
      <c r="E16" s="203"/>
      <c r="F16" s="204">
        <f>SUM(F15:F15)</f>
        <v>1445000</v>
      </c>
    </row>
    <row r="17" spans="2:6" ht="16.5" thickBot="1" x14ac:dyDescent="0.3">
      <c r="B17" s="1"/>
      <c r="C17" s="1"/>
      <c r="D17" s="1"/>
      <c r="E17" s="1"/>
      <c r="F17" s="1"/>
    </row>
    <row r="18" spans="2:6" ht="16.5" thickBot="1" x14ac:dyDescent="0.3">
      <c r="B18" s="195" t="s">
        <v>365</v>
      </c>
      <c r="C18" s="196" t="s">
        <v>461</v>
      </c>
      <c r="D18" s="196"/>
      <c r="E18" s="196" t="s">
        <v>462</v>
      </c>
      <c r="F18" s="197" t="s">
        <v>366</v>
      </c>
    </row>
    <row r="19" spans="2:6" ht="15.75" x14ac:dyDescent="0.25">
      <c r="B19" s="222" t="s">
        <v>491</v>
      </c>
      <c r="C19" s="223" t="s">
        <v>492</v>
      </c>
      <c r="D19" s="224"/>
      <c r="E19" s="225">
        <v>45510</v>
      </c>
      <c r="F19" s="226">
        <f>+F16</f>
        <v>1445000</v>
      </c>
    </row>
    <row r="20" spans="2:6" ht="18.75" thickBot="1" x14ac:dyDescent="0.45">
      <c r="B20" s="227"/>
      <c r="C20" s="228"/>
      <c r="D20" s="228"/>
      <c r="E20" s="229"/>
      <c r="F20" s="230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91" t="s">
        <v>450</v>
      </c>
      <c r="C22" s="191"/>
      <c r="D22" s="191"/>
      <c r="E22" s="191"/>
      <c r="F22" s="192">
        <f>+F19/12</f>
        <v>120416.66666666667</v>
      </c>
    </row>
    <row r="23" spans="2:6" ht="15.75" x14ac:dyDescent="0.25">
      <c r="B23" s="1"/>
      <c r="C23" s="1"/>
      <c r="D23" s="1"/>
      <c r="E23" s="1"/>
      <c r="F23" s="2"/>
    </row>
    <row r="24" spans="2:6" ht="15.75" x14ac:dyDescent="0.25">
      <c r="B24" s="221" t="s">
        <v>510</v>
      </c>
      <c r="C24" s="19" t="s">
        <v>494</v>
      </c>
      <c r="D24" s="2">
        <f>+F22</f>
        <v>120416.66666666667</v>
      </c>
      <c r="E24" s="25" t="s">
        <v>495</v>
      </c>
      <c r="F24" s="2">
        <f>+F22*5</f>
        <v>602083.33333333337</v>
      </c>
    </row>
    <row r="25" spans="2:6" ht="15.75" x14ac:dyDescent="0.25">
      <c r="B25" s="19"/>
      <c r="C25" s="19"/>
      <c r="D25" s="2"/>
      <c r="E25" s="19"/>
      <c r="F25" s="2"/>
    </row>
    <row r="26" spans="2:6" ht="15.75" x14ac:dyDescent="0.25">
      <c r="B26" s="221" t="s">
        <v>511</v>
      </c>
      <c r="C26" s="19" t="s">
        <v>497</v>
      </c>
      <c r="D26" s="2">
        <f>+F22</f>
        <v>120416.66666666667</v>
      </c>
      <c r="E26" s="25" t="s">
        <v>512</v>
      </c>
      <c r="F26" s="2">
        <f>+F19-F24</f>
        <v>842916.66666666663</v>
      </c>
    </row>
    <row r="27" spans="2:6" ht="15.75" x14ac:dyDescent="0.25">
      <c r="B27" s="1"/>
      <c r="C27" s="19"/>
      <c r="D27" s="2"/>
      <c r="E27" s="1"/>
      <c r="F27" s="1"/>
    </row>
    <row r="28" spans="2:6" ht="15.75" x14ac:dyDescent="0.25">
      <c r="B28" s="1"/>
      <c r="C28" s="19"/>
      <c r="D28" s="2"/>
      <c r="E28" s="1"/>
      <c r="F28" s="1"/>
    </row>
    <row r="29" spans="2:6" ht="15.75" x14ac:dyDescent="0.25">
      <c r="B29" s="1" t="s">
        <v>476</v>
      </c>
      <c r="C29" s="19"/>
      <c r="D29" s="2"/>
      <c r="E29" s="1"/>
      <c r="F29" s="2">
        <f>+F19/12</f>
        <v>120416.66666666667</v>
      </c>
    </row>
    <row r="30" spans="2:6" ht="15.75" x14ac:dyDescent="0.25">
      <c r="B30" s="1" t="s">
        <v>499</v>
      </c>
      <c r="C30" s="68"/>
      <c r="D30" s="68"/>
      <c r="E30" s="68"/>
      <c r="F30" s="2">
        <f>+F29</f>
        <v>120416.66666666667</v>
      </c>
    </row>
    <row r="31" spans="2:6" ht="15.75" x14ac:dyDescent="0.25">
      <c r="B31" s="1" t="s">
        <v>500</v>
      </c>
      <c r="C31" s="68"/>
      <c r="D31" s="68"/>
      <c r="E31" s="68"/>
      <c r="F31" s="2">
        <f>+F30</f>
        <v>120416.66666666667</v>
      </c>
    </row>
    <row r="32" spans="2:6" ht="18" x14ac:dyDescent="0.4">
      <c r="B32" s="3" t="s">
        <v>501</v>
      </c>
      <c r="C32" s="3"/>
      <c r="D32" s="3"/>
      <c r="E32" s="3"/>
      <c r="F32" s="212">
        <f>+F31</f>
        <v>120416.66666666667</v>
      </c>
    </row>
    <row r="33" spans="2:6" ht="15.75" hidden="1" x14ac:dyDescent="0.25">
      <c r="B33" s="1" t="s">
        <v>502</v>
      </c>
      <c r="C33" s="3"/>
      <c r="D33" s="3"/>
      <c r="E33" s="3"/>
      <c r="F33" s="2"/>
    </row>
    <row r="34" spans="2:6" ht="15.75" hidden="1" x14ac:dyDescent="0.25">
      <c r="B34" s="1" t="s">
        <v>503</v>
      </c>
      <c r="C34" s="3"/>
      <c r="D34" s="3"/>
      <c r="E34" s="3"/>
      <c r="F34" s="2"/>
    </row>
    <row r="35" spans="2:6" ht="15.75" hidden="1" x14ac:dyDescent="0.25">
      <c r="B35" s="1" t="s">
        <v>482</v>
      </c>
      <c r="C35" s="68"/>
      <c r="D35" s="68"/>
      <c r="E35" s="68"/>
      <c r="F35" s="2"/>
    </row>
    <row r="36" spans="2:6" ht="15.75" hidden="1" x14ac:dyDescent="0.25">
      <c r="B36" s="1" t="s">
        <v>504</v>
      </c>
      <c r="C36" s="68"/>
      <c r="D36" s="68"/>
      <c r="E36" s="68"/>
      <c r="F36" s="2"/>
    </row>
    <row r="37" spans="2:6" ht="15.75" hidden="1" x14ac:dyDescent="0.25">
      <c r="B37" s="1" t="s">
        <v>505</v>
      </c>
      <c r="C37" s="68"/>
      <c r="D37" s="68"/>
      <c r="E37" s="68"/>
      <c r="F37" s="2"/>
    </row>
    <row r="38" spans="2:6" ht="15.75" hidden="1" x14ac:dyDescent="0.25">
      <c r="B38" s="1" t="s">
        <v>506</v>
      </c>
      <c r="C38" s="68"/>
      <c r="D38" s="68"/>
      <c r="E38" s="68"/>
      <c r="F38" s="2"/>
    </row>
    <row r="39" spans="2:6" ht="15.75" hidden="1" x14ac:dyDescent="0.25">
      <c r="B39" s="1" t="s">
        <v>507</v>
      </c>
      <c r="C39" s="68"/>
      <c r="D39" s="68"/>
      <c r="E39" s="68"/>
      <c r="F39" s="2"/>
    </row>
    <row r="40" spans="2:6" ht="15.75" hidden="1" x14ac:dyDescent="0.25">
      <c r="B40" s="68" t="s">
        <v>508</v>
      </c>
      <c r="C40" s="1"/>
      <c r="D40" s="1"/>
      <c r="E40" s="1"/>
      <c r="F40" s="2"/>
    </row>
    <row r="41" spans="2:6" ht="15.75" x14ac:dyDescent="0.25">
      <c r="B41" s="142" t="s">
        <v>127</v>
      </c>
      <c r="C41" s="68"/>
      <c r="D41" s="68"/>
      <c r="E41" s="68"/>
      <c r="F41" s="66">
        <f>SUM(F29:F40)+0</f>
        <v>481666.66666666669</v>
      </c>
    </row>
    <row r="42" spans="2:6" ht="15.75" x14ac:dyDescent="0.25">
      <c r="B42" s="68"/>
      <c r="C42" s="68"/>
      <c r="D42" s="68"/>
      <c r="E42" s="68"/>
      <c r="F42" s="56"/>
    </row>
    <row r="43" spans="2:6" ht="18" x14ac:dyDescent="0.4">
      <c r="B43" s="142" t="s">
        <v>453</v>
      </c>
      <c r="C43" s="142"/>
      <c r="D43" s="142"/>
      <c r="E43" s="142"/>
      <c r="F43" s="403">
        <f>+F16-F41</f>
        <v>963333.33333333326</v>
      </c>
    </row>
    <row r="44" spans="2:6" ht="15.75" x14ac:dyDescent="0.25">
      <c r="B44" s="68"/>
      <c r="C44" s="68"/>
      <c r="D44" s="68"/>
      <c r="E44" s="68"/>
      <c r="F44" s="56"/>
    </row>
    <row r="47" spans="2:6" x14ac:dyDescent="0.2">
      <c r="F47" s="163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4"/>
  <sheetViews>
    <sheetView topLeftCell="A32" zoomScale="90" zoomScaleNormal="90" workbookViewId="0">
      <selection activeCell="C37" sqref="C37"/>
    </sheetView>
  </sheetViews>
  <sheetFormatPr baseColWidth="10" defaultColWidth="9.140625" defaultRowHeight="15.75" x14ac:dyDescent="0.25"/>
  <cols>
    <col min="1" max="1" width="46.28515625" style="1" customWidth="1"/>
    <col min="2" max="2" width="10.42578125" style="1" customWidth="1"/>
    <col min="3" max="3" width="26" style="2" bestFit="1" customWidth="1"/>
    <col min="4" max="4" width="26.140625" style="2" customWidth="1"/>
    <col min="5" max="5" width="24.42578125" style="2" bestFit="1" customWidth="1"/>
    <col min="6" max="6" width="20.5703125" style="1" bestFit="1" customWidth="1"/>
    <col min="7" max="7" width="21.140625" style="1" customWidth="1"/>
    <col min="8" max="8" width="19.140625" style="1" bestFit="1" customWidth="1"/>
    <col min="9" max="16384" width="9.140625" style="1"/>
  </cols>
  <sheetData>
    <row r="1" spans="1:12" ht="24.75" customHeight="1" x14ac:dyDescent="0.25">
      <c r="A1" s="31"/>
      <c r="B1" s="31"/>
      <c r="C1" s="32"/>
      <c r="D1" s="32"/>
      <c r="E1" s="32"/>
    </row>
    <row r="2" spans="1:12" x14ac:dyDescent="0.25">
      <c r="A2" s="31"/>
      <c r="B2" s="31"/>
      <c r="C2" s="32"/>
      <c r="D2" s="32"/>
      <c r="E2" s="32"/>
    </row>
    <row r="3" spans="1:12" x14ac:dyDescent="0.25">
      <c r="A3" s="31"/>
      <c r="B3" s="31"/>
      <c r="C3" s="32"/>
      <c r="D3" s="32"/>
      <c r="E3" s="32"/>
    </row>
    <row r="4" spans="1:12" x14ac:dyDescent="0.25">
      <c r="A4" s="31"/>
      <c r="B4" s="31"/>
      <c r="C4" s="32"/>
      <c r="D4" s="32"/>
      <c r="E4" s="32"/>
    </row>
    <row r="5" spans="1:12" x14ac:dyDescent="0.25">
      <c r="A5" s="31"/>
      <c r="B5" s="31"/>
      <c r="C5" s="32"/>
      <c r="D5" s="32"/>
      <c r="E5" s="32"/>
    </row>
    <row r="6" spans="1:12" s="7" customFormat="1" ht="20.25" customHeight="1" x14ac:dyDescent="0.3">
      <c r="A6" s="535" t="s">
        <v>1</v>
      </c>
      <c r="B6" s="535"/>
      <c r="C6" s="535"/>
      <c r="D6" s="535"/>
      <c r="E6" s="535"/>
      <c r="H6" s="33"/>
      <c r="I6" s="33"/>
      <c r="J6" s="33"/>
      <c r="K6" s="33"/>
      <c r="L6" s="33"/>
    </row>
    <row r="7" spans="1:12" s="7" customFormat="1" ht="17.45" customHeight="1" x14ac:dyDescent="0.3">
      <c r="A7" s="536" t="s">
        <v>42</v>
      </c>
      <c r="B7" s="536"/>
      <c r="C7" s="536"/>
      <c r="D7" s="536"/>
      <c r="E7" s="536"/>
      <c r="F7" s="11"/>
      <c r="H7" s="34"/>
      <c r="I7" s="34"/>
      <c r="J7" s="34"/>
      <c r="K7" s="34"/>
      <c r="L7" s="34"/>
    </row>
    <row r="8" spans="1:12" s="7" customFormat="1" ht="17.45" customHeight="1" x14ac:dyDescent="0.3">
      <c r="A8" s="537" t="s">
        <v>848</v>
      </c>
      <c r="B8" s="537"/>
      <c r="C8" s="537"/>
      <c r="D8" s="537"/>
      <c r="E8" s="537"/>
      <c r="F8" s="11"/>
      <c r="H8" s="35"/>
      <c r="I8" s="35"/>
      <c r="J8" s="35"/>
      <c r="K8" s="35"/>
      <c r="L8" s="35"/>
    </row>
    <row r="9" spans="1:12" s="7" customFormat="1" ht="17.45" customHeight="1" x14ac:dyDescent="0.3">
      <c r="A9" s="538" t="s">
        <v>3</v>
      </c>
      <c r="B9" s="538"/>
      <c r="C9" s="538"/>
      <c r="D9" s="538"/>
      <c r="E9" s="538"/>
      <c r="F9" s="11"/>
    </row>
    <row r="10" spans="1:12" s="7" customFormat="1" ht="18.75" x14ac:dyDescent="0.3">
      <c r="A10" s="9"/>
      <c r="B10" s="9"/>
      <c r="C10" s="9"/>
      <c r="D10" s="9"/>
      <c r="E10" s="9"/>
      <c r="F10" s="36"/>
    </row>
    <row r="11" spans="1:12" s="7" customFormat="1" ht="18.75" x14ac:dyDescent="0.3">
      <c r="C11" s="37"/>
      <c r="D11" s="37"/>
      <c r="E11" s="37"/>
    </row>
    <row r="12" spans="1:12" s="12" customFormat="1" ht="38.450000000000003" customHeight="1" x14ac:dyDescent="0.2">
      <c r="B12" s="38" t="s">
        <v>43</v>
      </c>
      <c r="C12" s="13" t="s">
        <v>44</v>
      </c>
      <c r="D12" s="13" t="s">
        <v>45</v>
      </c>
      <c r="E12" s="13" t="s">
        <v>7</v>
      </c>
    </row>
    <row r="13" spans="1:12" ht="20.25" customHeight="1" x14ac:dyDescent="0.25">
      <c r="A13" s="16" t="s">
        <v>46</v>
      </c>
      <c r="B13" s="16"/>
      <c r="C13" s="39"/>
      <c r="D13" s="39"/>
      <c r="E13" s="39"/>
    </row>
    <row r="14" spans="1:12" x14ac:dyDescent="0.25">
      <c r="A14" s="1" t="s">
        <v>47</v>
      </c>
      <c r="B14" s="19">
        <v>15</v>
      </c>
      <c r="C14" s="39">
        <f>+'A-RESULTADOS ANEXOS'!D16</f>
        <v>2863305508.4000001</v>
      </c>
      <c r="D14" s="39">
        <v>401650235.39999998</v>
      </c>
      <c r="E14" s="39">
        <f>C14-D14</f>
        <v>2461655273</v>
      </c>
    </row>
    <row r="15" spans="1:12" x14ac:dyDescent="0.25">
      <c r="A15" s="1" t="s">
        <v>48</v>
      </c>
      <c r="B15" s="19">
        <v>16</v>
      </c>
      <c r="C15" s="39">
        <f>+'A-RESULTADOS ANEXOS'!D20</f>
        <v>178126909.71000001</v>
      </c>
      <c r="D15" s="39">
        <v>162779622.37</v>
      </c>
      <c r="E15" s="39">
        <f>C15-D15</f>
        <v>15347287.340000004</v>
      </c>
    </row>
    <row r="16" spans="1:12" x14ac:dyDescent="0.25">
      <c r="A16" s="1" t="s">
        <v>49</v>
      </c>
      <c r="B16" s="19">
        <v>17</v>
      </c>
      <c r="C16" s="367">
        <f>+'A-RESULTADOS ANEXOS'!D26</f>
        <v>4686276.43</v>
      </c>
      <c r="D16" s="367">
        <v>1354073.12</v>
      </c>
      <c r="E16" s="39">
        <f>C16-D16</f>
        <v>3332203.3099999996</v>
      </c>
      <c r="F16" s="20"/>
    </row>
    <row r="17" spans="1:8" x14ac:dyDescent="0.25">
      <c r="A17" s="16" t="s">
        <v>50</v>
      </c>
      <c r="B17" s="50"/>
      <c r="C17" s="368">
        <f>SUM(C14:C16)</f>
        <v>3046118694.54</v>
      </c>
      <c r="D17" s="368">
        <f>SUM(D14:D16)</f>
        <v>565783930.88999999</v>
      </c>
      <c r="E17" s="368">
        <f>SUM(E14:E16)</f>
        <v>2480334763.6500001</v>
      </c>
      <c r="F17" s="20"/>
      <c r="G17" s="20"/>
    </row>
    <row r="18" spans="1:8" x14ac:dyDescent="0.25">
      <c r="B18" s="19"/>
      <c r="C18" s="39"/>
      <c r="D18" s="39"/>
      <c r="E18" s="39"/>
    </row>
    <row r="19" spans="1:8" x14ac:dyDescent="0.25">
      <c r="B19" s="19"/>
      <c r="C19" s="39"/>
      <c r="D19" s="39"/>
      <c r="E19" s="39"/>
    </row>
    <row r="20" spans="1:8" x14ac:dyDescent="0.25">
      <c r="A20" s="16" t="s">
        <v>51</v>
      </c>
      <c r="B20" s="50"/>
      <c r="C20" s="39"/>
      <c r="D20" s="39"/>
      <c r="E20" s="39"/>
    </row>
    <row r="21" spans="1:8" x14ac:dyDescent="0.25">
      <c r="A21" s="1" t="s">
        <v>52</v>
      </c>
      <c r="B21" s="19">
        <v>18</v>
      </c>
      <c r="C21" s="39">
        <f>+'A-RESULTADOS ANEXOS'!D51</f>
        <v>198349562.56000003</v>
      </c>
      <c r="D21" s="39">
        <v>179712874.68000001</v>
      </c>
      <c r="E21" s="39">
        <f>C21-D21</f>
        <v>18636687.880000025</v>
      </c>
      <c r="F21" s="369"/>
    </row>
    <row r="22" spans="1:8" x14ac:dyDescent="0.25">
      <c r="A22" s="1" t="s">
        <v>53</v>
      </c>
      <c r="B22" s="19">
        <v>19</v>
      </c>
      <c r="C22" s="39">
        <f>+'A-RESULTADOS ANEXOS'!D88</f>
        <v>337469920.87</v>
      </c>
      <c r="D22" s="39">
        <v>330356603.08999997</v>
      </c>
      <c r="E22" s="39">
        <f>C22-D22</f>
        <v>7113317.780000031</v>
      </c>
      <c r="F22" s="369"/>
    </row>
    <row r="23" spans="1:8" x14ac:dyDescent="0.25">
      <c r="A23" s="1" t="s">
        <v>54</v>
      </c>
      <c r="B23" s="19">
        <v>20</v>
      </c>
      <c r="C23" s="39">
        <f>+'A-RESULTADOS ANEXOS'!D113</f>
        <v>25307138.66</v>
      </c>
      <c r="D23" s="39">
        <v>23011590.280000001</v>
      </c>
      <c r="E23" s="39">
        <f>C23-D23</f>
        <v>2295548.379999999</v>
      </c>
      <c r="F23" s="369"/>
    </row>
    <row r="24" spans="1:8" x14ac:dyDescent="0.25">
      <c r="A24" s="1" t="s">
        <v>55</v>
      </c>
      <c r="B24" s="19">
        <v>21</v>
      </c>
      <c r="C24" s="40">
        <f>+'A-RESULTADOS ANEXOS'!D130</f>
        <v>832003698.07999992</v>
      </c>
      <c r="D24" s="40">
        <v>492259035.21000004</v>
      </c>
      <c r="E24" s="39">
        <f>C24-D24</f>
        <v>339744662.86999989</v>
      </c>
      <c r="F24" s="20"/>
    </row>
    <row r="25" spans="1:8" x14ac:dyDescent="0.25">
      <c r="A25" s="16" t="s">
        <v>56</v>
      </c>
      <c r="B25" s="50"/>
      <c r="C25" s="368">
        <f>SUM(C21:C24)</f>
        <v>1393130320.1700001</v>
      </c>
      <c r="D25" s="368">
        <f>SUM(D21:D24)</f>
        <v>1025340103.26</v>
      </c>
      <c r="E25" s="368">
        <f>SUM(E21:E24)</f>
        <v>367790216.90999997</v>
      </c>
      <c r="F25" s="20"/>
      <c r="G25" s="20"/>
    </row>
    <row r="26" spans="1:8" x14ac:dyDescent="0.25">
      <c r="B26" s="19"/>
      <c r="C26" s="39"/>
      <c r="D26" s="39"/>
      <c r="E26" s="39"/>
      <c r="F26" s="20"/>
    </row>
    <row r="27" spans="1:8" ht="22.5" customHeight="1" x14ac:dyDescent="0.25">
      <c r="A27" s="16" t="s">
        <v>57</v>
      </c>
      <c r="B27" s="50"/>
      <c r="C27" s="69">
        <f>+C17-C25</f>
        <v>1652988374.3699999</v>
      </c>
      <c r="D27" s="69">
        <f>+D17-D25</f>
        <v>-459556172.37</v>
      </c>
      <c r="E27" s="69">
        <f>+E17-E25</f>
        <v>2112544546.7400002</v>
      </c>
      <c r="F27" s="52"/>
    </row>
    <row r="28" spans="1:8" x14ac:dyDescent="0.25">
      <c r="B28" s="19"/>
      <c r="C28" s="39"/>
      <c r="D28" s="39"/>
      <c r="E28" s="39"/>
      <c r="F28" s="20"/>
    </row>
    <row r="29" spans="1:8" ht="18" customHeight="1" x14ac:dyDescent="0.25">
      <c r="A29" s="16" t="s">
        <v>58</v>
      </c>
      <c r="B29" s="50"/>
      <c r="C29" s="40"/>
      <c r="D29" s="40"/>
      <c r="E29" s="40"/>
    </row>
    <row r="30" spans="1:8" x14ac:dyDescent="0.25">
      <c r="A30" s="1" t="s">
        <v>59</v>
      </c>
      <c r="B30" s="19">
        <v>22</v>
      </c>
      <c r="C30" s="40">
        <f>+'A-RESULTADOS ANEXOS'!D134</f>
        <v>5473928.7599999998</v>
      </c>
      <c r="D30" s="40">
        <v>5468486.71</v>
      </c>
      <c r="E30" s="40">
        <f>C30-D30</f>
        <v>5442.0499999998137</v>
      </c>
      <c r="H30" s="2"/>
    </row>
    <row r="31" spans="1:8" x14ac:dyDescent="0.25">
      <c r="A31" s="1" t="s">
        <v>60</v>
      </c>
      <c r="B31" s="19"/>
      <c r="C31" s="40">
        <f>+'A-RESULTADOS ANEXOS'!D135</f>
        <v>-4245.6400000000003</v>
      </c>
      <c r="D31" s="40">
        <v>-4245.6400000000003</v>
      </c>
      <c r="E31" s="40">
        <f>+C31-D31</f>
        <v>0</v>
      </c>
      <c r="F31" s="20"/>
      <c r="H31" s="2"/>
    </row>
    <row r="32" spans="1:8" x14ac:dyDescent="0.25">
      <c r="A32" s="1" t="s">
        <v>61</v>
      </c>
      <c r="B32" s="19"/>
      <c r="C32" s="367">
        <f>+'A-RESULTADOS ANEXOS'!D136</f>
        <v>-16614.849999999977</v>
      </c>
      <c r="D32" s="367">
        <v>-16614.849999999977</v>
      </c>
      <c r="E32" s="367">
        <f>+C32-D32</f>
        <v>0</v>
      </c>
      <c r="F32" s="20"/>
    </row>
    <row r="33" spans="1:5" ht="33.75" customHeight="1" x14ac:dyDescent="0.25">
      <c r="A33" s="59" t="s">
        <v>62</v>
      </c>
      <c r="B33" s="50"/>
      <c r="C33" s="69">
        <f>SUM(C30:C32)</f>
        <v>5453068.2700000005</v>
      </c>
      <c r="D33" s="69">
        <f t="shared" ref="D33:E33" si="0">SUM(D30:D32)</f>
        <v>5447626.2200000007</v>
      </c>
      <c r="E33" s="69">
        <f t="shared" si="0"/>
        <v>5442.0499999998137</v>
      </c>
    </row>
    <row r="34" spans="1:5" x14ac:dyDescent="0.25">
      <c r="C34" s="39"/>
      <c r="D34" s="39"/>
      <c r="E34" s="39"/>
    </row>
    <row r="35" spans="1:5" x14ac:dyDescent="0.25">
      <c r="C35" s="39"/>
      <c r="D35" s="39"/>
      <c r="E35" s="39"/>
    </row>
    <row r="36" spans="1:5" x14ac:dyDescent="0.25">
      <c r="C36" s="39"/>
      <c r="D36" s="39"/>
      <c r="E36" s="39"/>
    </row>
    <row r="37" spans="1:5" ht="25.5" customHeight="1" thickBot="1" x14ac:dyDescent="0.3">
      <c r="A37" s="16" t="s">
        <v>63</v>
      </c>
      <c r="B37" s="41"/>
      <c r="C37" s="23">
        <f>C27+C33</f>
        <v>1658441442.6399999</v>
      </c>
      <c r="D37" s="23">
        <f>D27+D33</f>
        <v>-454108546.14999998</v>
      </c>
      <c r="E37" s="23">
        <f>E27+E33</f>
        <v>2112549988.7900002</v>
      </c>
    </row>
    <row r="38" spans="1:5" ht="16.5" thickTop="1" x14ac:dyDescent="0.25">
      <c r="C38" s="42">
        <f>C27-C37+C33</f>
        <v>1.9557774066925049E-8</v>
      </c>
      <c r="D38" s="42">
        <f>D27-D37+D33</f>
        <v>-2.7939677238464355E-8</v>
      </c>
      <c r="E38" s="42">
        <f>E27-E37+E33</f>
        <v>4.7497451305389404E-8</v>
      </c>
    </row>
    <row r="39" spans="1:5" x14ac:dyDescent="0.25">
      <c r="C39" s="455"/>
      <c r="D39" s="17"/>
      <c r="E39" s="42"/>
    </row>
    <row r="40" spans="1:5" x14ac:dyDescent="0.25">
      <c r="C40" s="456"/>
      <c r="D40" s="17"/>
      <c r="E40" s="42"/>
    </row>
    <row r="41" spans="1:5" x14ac:dyDescent="0.25">
      <c r="A41" s="31"/>
      <c r="B41" s="31"/>
      <c r="C41" s="32"/>
      <c r="D41" s="32"/>
      <c r="E41" s="43"/>
    </row>
    <row r="42" spans="1:5" x14ac:dyDescent="0.25">
      <c r="A42" s="31"/>
      <c r="B42" s="31"/>
      <c r="C42" s="32"/>
      <c r="D42" s="32"/>
      <c r="E42" s="32"/>
    </row>
    <row r="43" spans="1:5" x14ac:dyDescent="0.25">
      <c r="A43" s="44"/>
      <c r="B43" s="44"/>
      <c r="C43" s="32"/>
      <c r="D43" s="32"/>
      <c r="E43" s="32"/>
    </row>
    <row r="44" spans="1:5" x14ac:dyDescent="0.25">
      <c r="A44" s="32"/>
      <c r="B44" s="32"/>
      <c r="C44" s="32"/>
      <c r="D44" s="32"/>
      <c r="E44" s="32"/>
    </row>
    <row r="45" spans="1:5" x14ac:dyDescent="0.25">
      <c r="A45" s="32"/>
      <c r="B45" s="32"/>
      <c r="C45" s="32"/>
      <c r="D45" s="32"/>
      <c r="E45" s="32"/>
    </row>
    <row r="46" spans="1:5" s="16" customFormat="1" x14ac:dyDescent="0.25">
      <c r="A46" s="262" t="s">
        <v>64</v>
      </c>
      <c r="B46" s="263"/>
      <c r="C46" s="263"/>
      <c r="D46" s="544" t="s">
        <v>37</v>
      </c>
      <c r="E46" s="544"/>
    </row>
    <row r="47" spans="1:5" x14ac:dyDescent="0.25">
      <c r="A47" s="45" t="str">
        <f>+'Estado Situación'!A57</f>
        <v>Encargado División de Contabilidad</v>
      </c>
      <c r="B47" s="32"/>
      <c r="C47" s="32"/>
      <c r="D47" s="545" t="s">
        <v>39</v>
      </c>
      <c r="E47" s="545"/>
    </row>
    <row r="48" spans="1:5" x14ac:dyDescent="0.25">
      <c r="A48" s="44"/>
      <c r="B48" s="44"/>
      <c r="C48" s="32"/>
      <c r="D48" s="32"/>
      <c r="E48" s="32"/>
    </row>
    <row r="49" spans="1:5" x14ac:dyDescent="0.25">
      <c r="A49" s="44"/>
      <c r="B49" s="44"/>
      <c r="C49" s="32"/>
      <c r="D49" s="32"/>
      <c r="E49" s="32"/>
    </row>
    <row r="50" spans="1:5" x14ac:dyDescent="0.25">
      <c r="A50" s="31"/>
      <c r="B50" s="31"/>
      <c r="C50" s="32"/>
      <c r="D50" s="32"/>
      <c r="E50" s="32"/>
    </row>
    <row r="51" spans="1:5" x14ac:dyDescent="0.25">
      <c r="A51" s="31"/>
      <c r="B51" s="31"/>
      <c r="C51" s="32"/>
      <c r="D51" s="32"/>
      <c r="E51" s="32"/>
    </row>
    <row r="52" spans="1:5" s="16" customFormat="1" x14ac:dyDescent="0.25">
      <c r="A52" s="542" t="s">
        <v>40</v>
      </c>
      <c r="B52" s="542"/>
      <c r="C52" s="542"/>
      <c r="D52" s="542"/>
      <c r="E52" s="542"/>
    </row>
    <row r="53" spans="1:5" x14ac:dyDescent="0.25">
      <c r="A53" s="543" t="s">
        <v>41</v>
      </c>
      <c r="B53" s="543"/>
      <c r="C53" s="543"/>
      <c r="D53" s="543"/>
      <c r="E53" s="543"/>
    </row>
    <row r="54" spans="1:5" x14ac:dyDescent="0.25">
      <c r="A54" s="31"/>
      <c r="B54" s="31"/>
      <c r="C54" s="32"/>
      <c r="D54" s="32"/>
      <c r="E54" s="32"/>
    </row>
  </sheetData>
  <mergeCells count="8">
    <mergeCell ref="A52:E52"/>
    <mergeCell ref="A53:E53"/>
    <mergeCell ref="A6:E6"/>
    <mergeCell ref="A7:E7"/>
    <mergeCell ref="A8:E8"/>
    <mergeCell ref="A9:E9"/>
    <mergeCell ref="D46:E46"/>
    <mergeCell ref="D47:E47"/>
  </mergeCells>
  <phoneticPr fontId="35" type="noConversion"/>
  <pageMargins left="0.82677165354330717" right="0.78740157480314965" top="0.43307086614173229" bottom="0.82677165354330717" header="0" footer="0"/>
  <pageSetup scale="6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27" workbookViewId="0">
      <selection activeCell="C14" sqref="C14"/>
    </sheetView>
  </sheetViews>
  <sheetFormatPr baseColWidth="10" defaultColWidth="11.42578125" defaultRowHeight="12.75" x14ac:dyDescent="0.2"/>
  <cols>
    <col min="1" max="1" width="2.5703125" style="138" customWidth="1"/>
    <col min="2" max="2" width="33" style="138" bestFit="1" customWidth="1"/>
    <col min="3" max="3" width="15.28515625" style="138" customWidth="1"/>
    <col min="4" max="4" width="14.7109375" style="138" customWidth="1"/>
    <col min="5" max="5" width="11.42578125" style="138"/>
    <col min="6" max="6" width="16" style="138" bestFit="1" customWidth="1"/>
    <col min="7" max="16384" width="11.42578125" style="138"/>
  </cols>
  <sheetData>
    <row r="5" spans="2:9" ht="18.75" x14ac:dyDescent="0.3">
      <c r="B5" s="535" t="s">
        <v>417</v>
      </c>
      <c r="C5" s="535"/>
      <c r="D5" s="535"/>
      <c r="E5" s="535"/>
      <c r="F5" s="535"/>
    </row>
    <row r="6" spans="2:9" ht="18.75" x14ac:dyDescent="0.3">
      <c r="B6" s="535" t="s">
        <v>280</v>
      </c>
      <c r="C6" s="535"/>
      <c r="D6" s="535"/>
      <c r="E6" s="535"/>
      <c r="F6" s="535"/>
    </row>
    <row r="7" spans="2:9" ht="15.75" x14ac:dyDescent="0.25">
      <c r="B7" s="539" t="s">
        <v>513</v>
      </c>
      <c r="C7" s="539"/>
      <c r="D7" s="539"/>
      <c r="E7" s="539"/>
      <c r="F7" s="539"/>
    </row>
    <row r="8" spans="2:9" ht="15.75" x14ac:dyDescent="0.25">
      <c r="B8" s="563">
        <v>45626</v>
      </c>
      <c r="C8" s="563"/>
      <c r="D8" s="563"/>
      <c r="E8" s="563"/>
      <c r="F8" s="563"/>
    </row>
    <row r="9" spans="2:9" ht="15.75" x14ac:dyDescent="0.25">
      <c r="B9" s="1"/>
      <c r="C9" s="1"/>
      <c r="D9" s="1"/>
      <c r="E9" s="1"/>
      <c r="F9" s="1"/>
    </row>
    <row r="10" spans="2:9" ht="15.75" x14ac:dyDescent="0.25">
      <c r="B10" s="540" t="s">
        <v>514</v>
      </c>
      <c r="C10" s="540"/>
      <c r="D10" s="540"/>
      <c r="E10" s="540"/>
      <c r="F10" s="540"/>
    </row>
    <row r="11" spans="2:9" ht="15.75" x14ac:dyDescent="0.25">
      <c r="B11" s="540" t="s">
        <v>515</v>
      </c>
      <c r="C11" s="540"/>
      <c r="D11" s="540"/>
      <c r="E11" s="540"/>
      <c r="F11" s="540"/>
    </row>
    <row r="12" spans="2:9" ht="15.75" x14ac:dyDescent="0.25">
      <c r="B12" s="539" t="s">
        <v>516</v>
      </c>
      <c r="C12" s="539"/>
      <c r="D12" s="539"/>
      <c r="E12" s="539"/>
      <c r="F12" s="539"/>
      <c r="I12" s="288"/>
    </row>
    <row r="13" spans="2:9" ht="16.5" thickBot="1" x14ac:dyDescent="0.3">
      <c r="B13" s="1"/>
      <c r="C13" s="1"/>
      <c r="D13" s="1"/>
      <c r="E13" s="1"/>
      <c r="F13" s="1"/>
      <c r="I13" s="287"/>
    </row>
    <row r="14" spans="2:9" ht="16.5" thickBot="1" x14ac:dyDescent="0.3">
      <c r="B14" s="195" t="s">
        <v>367</v>
      </c>
      <c r="C14" s="196" t="s">
        <v>461</v>
      </c>
      <c r="D14" s="196" t="s">
        <v>458</v>
      </c>
      <c r="E14" s="196"/>
      <c r="F14" s="197" t="s">
        <v>435</v>
      </c>
      <c r="I14" s="287"/>
    </row>
    <row r="15" spans="2:9" ht="18" x14ac:dyDescent="0.4">
      <c r="B15" s="220" t="s">
        <v>517</v>
      </c>
      <c r="C15" s="231" t="s">
        <v>518</v>
      </c>
      <c r="D15" s="200" t="s">
        <v>460</v>
      </c>
      <c r="E15" s="199"/>
      <c r="F15" s="201">
        <v>329200.01</v>
      </c>
    </row>
    <row r="16" spans="2:9" ht="18.75" thickBot="1" x14ac:dyDescent="0.45">
      <c r="B16" s="202" t="s">
        <v>360</v>
      </c>
      <c r="C16" s="203"/>
      <c r="D16" s="203"/>
      <c r="E16" s="203"/>
      <c r="F16" s="204">
        <f>SUM(F15:F15)</f>
        <v>329200.01</v>
      </c>
    </row>
    <row r="17" spans="2:6" ht="13.5" thickBot="1" x14ac:dyDescent="0.25"/>
    <row r="18" spans="2:6" ht="16.5" thickBot="1" x14ac:dyDescent="0.3">
      <c r="B18" s="195" t="s">
        <v>365</v>
      </c>
      <c r="C18" s="196" t="s">
        <v>461</v>
      </c>
      <c r="D18" s="196"/>
      <c r="E18" s="196" t="s">
        <v>462</v>
      </c>
      <c r="F18" s="197" t="s">
        <v>366</v>
      </c>
    </row>
    <row r="19" spans="2:6" ht="15.75" x14ac:dyDescent="0.25">
      <c r="B19" s="205" t="s">
        <v>519</v>
      </c>
      <c r="C19" s="232" t="s">
        <v>520</v>
      </c>
      <c r="D19" s="199"/>
      <c r="E19" s="233" t="s">
        <v>521</v>
      </c>
      <c r="F19" s="207">
        <f>+F16</f>
        <v>329200.01</v>
      </c>
    </row>
    <row r="21" spans="2:6" ht="15.75" x14ac:dyDescent="0.25">
      <c r="B21" s="191" t="s">
        <v>450</v>
      </c>
      <c r="C21" s="191"/>
      <c r="D21" s="191"/>
      <c r="E21" s="191"/>
      <c r="F21" s="192">
        <f>+F19/12</f>
        <v>27433.334166666667</v>
      </c>
    </row>
    <row r="22" spans="2:6" ht="15.75" x14ac:dyDescent="0.25">
      <c r="B22" s="1"/>
      <c r="C22" s="1"/>
      <c r="D22" s="1"/>
      <c r="E22" s="1"/>
      <c r="F22" s="2"/>
    </row>
    <row r="23" spans="2:6" ht="15.75" x14ac:dyDescent="0.25">
      <c r="B23" s="221" t="s">
        <v>522</v>
      </c>
      <c r="C23" s="19" t="s">
        <v>523</v>
      </c>
      <c r="D23" s="2">
        <f>+F21</f>
        <v>27433.334166666667</v>
      </c>
      <c r="E23" s="25" t="s">
        <v>524</v>
      </c>
      <c r="F23" s="2">
        <f>+F21*3</f>
        <v>82300.002500000002</v>
      </c>
    </row>
    <row r="24" spans="2:6" ht="15.75" x14ac:dyDescent="0.25">
      <c r="B24" s="19"/>
      <c r="C24" s="19"/>
      <c r="D24" s="2"/>
      <c r="E24" s="19"/>
      <c r="F24" s="2"/>
    </row>
    <row r="25" spans="2:6" ht="15.75" x14ac:dyDescent="0.25">
      <c r="B25" s="221" t="s">
        <v>525</v>
      </c>
      <c r="C25" s="19" t="s">
        <v>526</v>
      </c>
      <c r="D25" s="2">
        <f>+F21</f>
        <v>27433.334166666667</v>
      </c>
      <c r="E25" s="25" t="s">
        <v>527</v>
      </c>
      <c r="F25" s="2">
        <f>+F19-F23</f>
        <v>246900.00750000001</v>
      </c>
    </row>
    <row r="26" spans="2:6" ht="15.75" x14ac:dyDescent="0.25">
      <c r="B26" s="1"/>
      <c r="C26" s="19"/>
      <c r="D26" s="2"/>
      <c r="E26" s="1"/>
      <c r="F26" s="1"/>
    </row>
    <row r="27" spans="2:6" ht="15.75" x14ac:dyDescent="0.25">
      <c r="B27" s="1"/>
      <c r="C27" s="19"/>
      <c r="D27" s="2"/>
      <c r="E27" s="1"/>
      <c r="F27" s="1"/>
    </row>
    <row r="28" spans="2:6" ht="15.75" x14ac:dyDescent="0.25">
      <c r="B28" s="1"/>
      <c r="C28" s="19"/>
      <c r="D28" s="2"/>
      <c r="E28" s="1"/>
      <c r="F28" s="1"/>
    </row>
    <row r="29" spans="2:6" ht="15.75" x14ac:dyDescent="0.25">
      <c r="C29" s="68"/>
      <c r="D29" s="68"/>
      <c r="E29" s="68"/>
      <c r="F29" s="2"/>
    </row>
    <row r="30" spans="2:6" ht="15.75" x14ac:dyDescent="0.25">
      <c r="B30" s="68" t="s">
        <v>528</v>
      </c>
      <c r="C30" s="68"/>
      <c r="D30" s="68"/>
      <c r="E30" s="68"/>
      <c r="F30" s="2">
        <f>+F21</f>
        <v>27433.334166666667</v>
      </c>
    </row>
    <row r="31" spans="2:6" ht="15.75" x14ac:dyDescent="0.25">
      <c r="B31" s="1" t="s">
        <v>529</v>
      </c>
      <c r="C31" s="3"/>
      <c r="D31" s="3"/>
      <c r="E31" s="3"/>
      <c r="F31" s="2">
        <f t="shared" ref="F31:F40" si="0">+F30</f>
        <v>27433.334166666667</v>
      </c>
    </row>
    <row r="32" spans="2:6" ht="15.75" x14ac:dyDescent="0.25">
      <c r="B32" s="1" t="s">
        <v>530</v>
      </c>
      <c r="C32" s="3"/>
      <c r="D32" s="3"/>
      <c r="E32" s="3"/>
      <c r="F32" s="2">
        <f t="shared" si="0"/>
        <v>27433.334166666667</v>
      </c>
    </row>
    <row r="33" spans="2:6" ht="15.75" x14ac:dyDescent="0.25">
      <c r="B33" s="1" t="s">
        <v>531</v>
      </c>
      <c r="C33" s="3"/>
      <c r="D33" s="3"/>
      <c r="E33" s="3"/>
      <c r="F33" s="2">
        <f t="shared" si="0"/>
        <v>27433.334166666667</v>
      </c>
    </row>
    <row r="34" spans="2:6" ht="15.75" x14ac:dyDescent="0.25">
      <c r="B34" s="1" t="s">
        <v>532</v>
      </c>
      <c r="C34" s="68"/>
      <c r="D34" s="68"/>
      <c r="E34" s="68"/>
      <c r="F34" s="2">
        <f t="shared" si="0"/>
        <v>27433.334166666667</v>
      </c>
    </row>
    <row r="35" spans="2:6" ht="15.75" x14ac:dyDescent="0.25">
      <c r="B35" s="1" t="s">
        <v>533</v>
      </c>
      <c r="C35" s="68"/>
      <c r="D35" s="68"/>
      <c r="E35" s="68"/>
      <c r="F35" s="2">
        <f t="shared" si="0"/>
        <v>27433.334166666667</v>
      </c>
    </row>
    <row r="36" spans="2:6" ht="15.75" x14ac:dyDescent="0.25">
      <c r="B36" s="1" t="s">
        <v>534</v>
      </c>
      <c r="C36" s="68"/>
      <c r="D36" s="68"/>
      <c r="E36" s="68"/>
      <c r="F36" s="2">
        <f t="shared" si="0"/>
        <v>27433.334166666667</v>
      </c>
    </row>
    <row r="37" spans="2:6" ht="15.75" x14ac:dyDescent="0.25">
      <c r="B37" s="1" t="s">
        <v>535</v>
      </c>
      <c r="C37" s="68"/>
      <c r="D37" s="68"/>
      <c r="E37" s="68"/>
      <c r="F37" s="2">
        <f t="shared" si="0"/>
        <v>27433.334166666667</v>
      </c>
    </row>
    <row r="38" spans="2:6" ht="15.75" x14ac:dyDescent="0.25">
      <c r="B38" s="1" t="s">
        <v>536</v>
      </c>
      <c r="C38" s="68"/>
      <c r="D38" s="68"/>
      <c r="E38" s="68"/>
      <c r="F38" s="2">
        <f t="shared" si="0"/>
        <v>27433.334166666667</v>
      </c>
    </row>
    <row r="39" spans="2:6" ht="15.75" x14ac:dyDescent="0.25">
      <c r="B39" s="1" t="s">
        <v>537</v>
      </c>
      <c r="C39" s="1"/>
      <c r="D39" s="1"/>
      <c r="E39" s="1"/>
      <c r="F39" s="2">
        <f t="shared" si="0"/>
        <v>27433.334166666667</v>
      </c>
    </row>
    <row r="40" spans="2:6" ht="15.75" x14ac:dyDescent="0.25">
      <c r="B40" s="1" t="s">
        <v>476</v>
      </c>
      <c r="C40" s="68"/>
      <c r="D40" s="68"/>
      <c r="E40" s="68"/>
      <c r="F40" s="2">
        <f t="shared" si="0"/>
        <v>27433.334166666667</v>
      </c>
    </row>
    <row r="41" spans="2:6" ht="18" x14ac:dyDescent="0.4">
      <c r="B41" s="1" t="s">
        <v>499</v>
      </c>
      <c r="C41" s="68"/>
      <c r="D41" s="68"/>
      <c r="E41" s="68"/>
      <c r="F41" s="101">
        <f>+F40+0</f>
        <v>27433.334166666667</v>
      </c>
    </row>
    <row r="42" spans="2:6" ht="24" customHeight="1" x14ac:dyDescent="0.25">
      <c r="B42" s="142" t="s">
        <v>127</v>
      </c>
      <c r="C42" s="68"/>
      <c r="D42" s="68"/>
      <c r="E42" s="68"/>
      <c r="F42" s="66">
        <f>SUM(F29:F41)-0</f>
        <v>329200.01</v>
      </c>
    </row>
    <row r="43" spans="2:6" ht="29.25" customHeight="1" thickBot="1" x14ac:dyDescent="0.35">
      <c r="B43" s="49" t="s">
        <v>538</v>
      </c>
      <c r="F43" s="234">
        <f>+F16-F42</f>
        <v>0</v>
      </c>
    </row>
    <row r="44" spans="2:6" ht="13.5" thickTop="1" x14ac:dyDescent="0.2"/>
    <row r="47" spans="2:6" x14ac:dyDescent="0.2">
      <c r="F47" s="163"/>
    </row>
    <row r="48" spans="2:6" x14ac:dyDescent="0.2">
      <c r="F48" s="163"/>
    </row>
    <row r="49" spans="6:6" x14ac:dyDescent="0.2">
      <c r="F49" s="163"/>
    </row>
    <row r="50" spans="6:6" x14ac:dyDescent="0.2">
      <c r="F50" s="163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O13"/>
  <sheetViews>
    <sheetView workbookViewId="0">
      <selection activeCell="C14" sqref="C14"/>
    </sheetView>
  </sheetViews>
  <sheetFormatPr baseColWidth="10" defaultColWidth="11.5703125" defaultRowHeight="24.75" customHeight="1" x14ac:dyDescent="0.25"/>
  <cols>
    <col min="1" max="1" width="42.5703125" style="1" customWidth="1"/>
    <col min="2" max="2" width="21.7109375" style="1" customWidth="1"/>
    <col min="3" max="4" width="11.5703125" style="1"/>
    <col min="5" max="5" width="19.140625" style="1" customWidth="1"/>
    <col min="6" max="14" width="11.5703125" style="1"/>
    <col min="15" max="15" width="16.85546875" style="1" bestFit="1" customWidth="1"/>
    <col min="16" max="16384" width="11.5703125" style="1"/>
  </cols>
  <sheetData>
    <row r="3" spans="1:15" ht="24.75" customHeight="1" x14ac:dyDescent="0.25">
      <c r="A3" s="539" t="s">
        <v>539</v>
      </c>
      <c r="B3" s="539"/>
    </row>
    <row r="4" spans="1:15" ht="24.75" customHeight="1" x14ac:dyDescent="0.25">
      <c r="A4" s="539" t="s">
        <v>280</v>
      </c>
      <c r="B4" s="539"/>
    </row>
    <row r="5" spans="1:15" ht="24.75" customHeight="1" x14ac:dyDescent="0.25">
      <c r="A5" s="539" t="s">
        <v>540</v>
      </c>
      <c r="B5" s="539"/>
    </row>
    <row r="6" spans="1:15" ht="24.75" customHeight="1" x14ac:dyDescent="0.25">
      <c r="A6" s="551">
        <v>45626</v>
      </c>
      <c r="B6" s="551"/>
    </row>
    <row r="7" spans="1:15" ht="24.75" customHeight="1" thickBot="1" x14ac:dyDescent="0.3">
      <c r="A7" s="70"/>
      <c r="B7" s="70"/>
    </row>
    <row r="8" spans="1:15" ht="24.75" customHeight="1" thickBot="1" x14ac:dyDescent="0.3">
      <c r="A8" s="73" t="s">
        <v>541</v>
      </c>
      <c r="B8" s="75" t="s">
        <v>283</v>
      </c>
    </row>
    <row r="9" spans="1:15" ht="24.75" hidden="1" customHeight="1" x14ac:dyDescent="0.25">
      <c r="A9" s="76" t="s">
        <v>542</v>
      </c>
      <c r="B9" s="80">
        <v>0</v>
      </c>
    </row>
    <row r="10" spans="1:15" ht="24.75" customHeight="1" x14ac:dyDescent="0.25">
      <c r="A10" s="78" t="s">
        <v>543</v>
      </c>
      <c r="B10" s="80">
        <v>0</v>
      </c>
    </row>
    <row r="11" spans="1:15" ht="24.75" hidden="1" customHeight="1" x14ac:dyDescent="0.4">
      <c r="A11" s="78" t="s">
        <v>544</v>
      </c>
      <c r="B11" s="82">
        <v>0</v>
      </c>
      <c r="O11" s="2"/>
    </row>
    <row r="12" spans="1:15" ht="24.75" customHeight="1" x14ac:dyDescent="0.4">
      <c r="A12" s="78"/>
      <c r="B12" s="85">
        <f>SUM(B9:B11)</f>
        <v>0</v>
      </c>
    </row>
    <row r="13" spans="1:15" ht="24.75" customHeight="1" thickBot="1" x14ac:dyDescent="0.3">
      <c r="A13" s="86"/>
      <c r="B13" s="88"/>
    </row>
  </sheetData>
  <mergeCells count="4">
    <mergeCell ref="A4:B4"/>
    <mergeCell ref="A3:B3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sheetPr>
    <pageSetUpPr fitToPage="1"/>
  </sheetPr>
  <dimension ref="B8:I54"/>
  <sheetViews>
    <sheetView topLeftCell="A34"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138"/>
    <col min="2" max="2" width="42.140625" style="138" customWidth="1"/>
    <col min="3" max="3" width="24.42578125" style="138" bestFit="1" customWidth="1"/>
    <col min="4" max="4" width="11.42578125" style="138"/>
    <col min="5" max="5" width="10.85546875" style="138" customWidth="1"/>
    <col min="6" max="6" width="15" style="138" bestFit="1" customWidth="1"/>
    <col min="7" max="7" width="14.42578125" style="138" customWidth="1"/>
    <col min="8" max="8" width="20.85546875" style="138" bestFit="1" customWidth="1"/>
    <col min="9" max="16384" width="11.42578125" style="138"/>
  </cols>
  <sheetData>
    <row r="8" spans="2:9" ht="20.25" customHeight="1" x14ac:dyDescent="0.25">
      <c r="B8" s="539" t="s">
        <v>545</v>
      </c>
      <c r="C8" s="539"/>
    </row>
    <row r="9" spans="2:9" ht="20.25" customHeight="1" x14ac:dyDescent="0.25">
      <c r="B9" s="539" t="s">
        <v>280</v>
      </c>
      <c r="C9" s="539"/>
    </row>
    <row r="10" spans="2:9" ht="20.25" customHeight="1" x14ac:dyDescent="0.25">
      <c r="B10" s="539" t="s">
        <v>546</v>
      </c>
      <c r="C10" s="539"/>
    </row>
    <row r="11" spans="2:9" ht="20.25" customHeight="1" x14ac:dyDescent="0.25">
      <c r="B11" s="551">
        <v>45626</v>
      </c>
      <c r="C11" s="551"/>
      <c r="F11" s="570" t="s">
        <v>547</v>
      </c>
      <c r="G11" s="570"/>
      <c r="H11" s="570"/>
      <c r="I11" s="418"/>
    </row>
    <row r="12" spans="2:9" ht="16.5" thickBot="1" x14ac:dyDescent="0.3">
      <c r="B12" s="1"/>
      <c r="C12" s="1"/>
    </row>
    <row r="13" spans="2:9" ht="29.25" customHeight="1" thickBot="1" x14ac:dyDescent="0.3">
      <c r="B13" s="73" t="s">
        <v>266</v>
      </c>
      <c r="C13" s="75" t="s">
        <v>283</v>
      </c>
      <c r="E13" s="419"/>
      <c r="F13" s="435" t="s">
        <v>548</v>
      </c>
      <c r="G13" s="436" t="s">
        <v>363</v>
      </c>
      <c r="H13" s="437" t="s">
        <v>549</v>
      </c>
    </row>
    <row r="14" spans="2:9" ht="24.75" customHeight="1" x14ac:dyDescent="0.25">
      <c r="B14" s="62" t="s">
        <v>117</v>
      </c>
      <c r="C14" s="117">
        <f>+H19+H33</f>
        <v>383156800</v>
      </c>
      <c r="F14" s="568" t="s">
        <v>550</v>
      </c>
      <c r="G14" s="569"/>
      <c r="H14" s="434"/>
    </row>
    <row r="15" spans="2:9" ht="27" customHeight="1" x14ac:dyDescent="0.25">
      <c r="B15" s="62" t="s">
        <v>118</v>
      </c>
      <c r="C15" s="117">
        <v>296750000</v>
      </c>
      <c r="F15" s="420">
        <v>39310</v>
      </c>
      <c r="G15" s="421">
        <v>45183</v>
      </c>
      <c r="H15" s="422">
        <v>70000000</v>
      </c>
    </row>
    <row r="16" spans="2:9" ht="29.25" customHeight="1" x14ac:dyDescent="0.4">
      <c r="B16" s="62" t="s">
        <v>119</v>
      </c>
      <c r="C16" s="250">
        <f>+H48</f>
        <v>956750000</v>
      </c>
      <c r="F16" s="423">
        <v>39363</v>
      </c>
      <c r="G16" s="424">
        <v>45216</v>
      </c>
      <c r="H16" s="425">
        <v>20000000</v>
      </c>
    </row>
    <row r="17" spans="2:8" ht="23.25" customHeight="1" x14ac:dyDescent="0.4">
      <c r="B17" s="251" t="s">
        <v>551</v>
      </c>
      <c r="C17" s="93">
        <f>SUM(C14:C16)</f>
        <v>1636656800</v>
      </c>
      <c r="F17" s="423">
        <v>39410</v>
      </c>
      <c r="G17" s="424">
        <v>45239</v>
      </c>
      <c r="H17" s="425">
        <v>40000000</v>
      </c>
    </row>
    <row r="18" spans="2:8" ht="23.25" customHeight="1" x14ac:dyDescent="0.25">
      <c r="B18" s="123"/>
      <c r="C18" s="123"/>
      <c r="F18" s="423">
        <v>39476</v>
      </c>
      <c r="G18" s="424">
        <v>45278</v>
      </c>
      <c r="H18" s="426">
        <v>21156800</v>
      </c>
    </row>
    <row r="19" spans="2:8" ht="15" x14ac:dyDescent="0.25">
      <c r="F19" s="423"/>
      <c r="G19" s="423"/>
      <c r="H19" s="427">
        <v>151156800</v>
      </c>
    </row>
    <row r="20" spans="2:8" ht="15" x14ac:dyDescent="0.25">
      <c r="F20" s="423"/>
      <c r="G20" s="423"/>
      <c r="H20" s="429"/>
    </row>
    <row r="21" spans="2:8" ht="15" x14ac:dyDescent="0.25">
      <c r="C21" s="163"/>
      <c r="F21" s="423">
        <v>39477</v>
      </c>
      <c r="G21" s="424">
        <v>45279</v>
      </c>
      <c r="H21" s="425">
        <v>40000000</v>
      </c>
    </row>
    <row r="22" spans="2:8" ht="15" x14ac:dyDescent="0.25">
      <c r="C22" s="163"/>
      <c r="F22" s="423">
        <v>39515</v>
      </c>
      <c r="G22" s="424">
        <v>45303</v>
      </c>
      <c r="H22" s="425">
        <v>20000000</v>
      </c>
    </row>
    <row r="23" spans="2:8" ht="15" x14ac:dyDescent="0.25">
      <c r="C23" s="163"/>
      <c r="F23" s="423">
        <v>39567</v>
      </c>
      <c r="G23" s="424">
        <v>45335</v>
      </c>
      <c r="H23" s="425">
        <v>20000000</v>
      </c>
    </row>
    <row r="24" spans="2:8" ht="15" x14ac:dyDescent="0.25">
      <c r="C24" s="163"/>
      <c r="F24" s="423">
        <v>39616</v>
      </c>
      <c r="G24" s="424">
        <v>45365</v>
      </c>
      <c r="H24" s="425">
        <v>20000000</v>
      </c>
    </row>
    <row r="25" spans="2:8" ht="15" x14ac:dyDescent="0.25">
      <c r="C25" s="163"/>
      <c r="F25" s="423">
        <v>39651</v>
      </c>
      <c r="G25" s="424">
        <v>45386</v>
      </c>
      <c r="H25" s="425">
        <v>20000000</v>
      </c>
    </row>
    <row r="26" spans="2:8" ht="15" x14ac:dyDescent="0.25">
      <c r="F26" s="423">
        <v>39713</v>
      </c>
      <c r="G26" s="424">
        <v>45422</v>
      </c>
      <c r="H26" s="425">
        <v>20000000</v>
      </c>
    </row>
    <row r="27" spans="2:8" ht="15" x14ac:dyDescent="0.25">
      <c r="F27" s="423">
        <v>39749</v>
      </c>
      <c r="G27" s="424">
        <v>45460</v>
      </c>
      <c r="H27" s="425">
        <v>20000000</v>
      </c>
    </row>
    <row r="28" spans="2:8" ht="15" x14ac:dyDescent="0.25">
      <c r="F28" s="423">
        <v>39848</v>
      </c>
      <c r="G28" s="424">
        <v>45561</v>
      </c>
      <c r="H28" s="425">
        <v>24000000</v>
      </c>
    </row>
    <row r="29" spans="2:8" ht="15" x14ac:dyDescent="0.25">
      <c r="F29" s="423">
        <v>39885</v>
      </c>
      <c r="G29" s="424">
        <v>45576</v>
      </c>
      <c r="H29" s="425">
        <v>8000000</v>
      </c>
    </row>
    <row r="30" spans="2:8" ht="15" x14ac:dyDescent="0.25">
      <c r="F30" s="423">
        <v>39926</v>
      </c>
      <c r="G30" s="424">
        <v>45608</v>
      </c>
      <c r="H30" s="425">
        <v>8000000</v>
      </c>
    </row>
    <row r="31" spans="2:8" ht="15" x14ac:dyDescent="0.25">
      <c r="F31" s="423">
        <v>39936</v>
      </c>
      <c r="G31" s="424">
        <v>45623</v>
      </c>
      <c r="H31" s="425">
        <v>12000000</v>
      </c>
    </row>
    <row r="32" spans="2:8" ht="15" x14ac:dyDescent="0.25">
      <c r="F32" s="423">
        <v>39941</v>
      </c>
      <c r="G32" s="424">
        <v>45623</v>
      </c>
      <c r="H32" s="426">
        <v>20000000</v>
      </c>
    </row>
    <row r="33" spans="6:8" ht="15" x14ac:dyDescent="0.25">
      <c r="F33" s="423"/>
      <c r="G33" s="424"/>
      <c r="H33" s="430">
        <f>SUM(H21:H32)</f>
        <v>232000000</v>
      </c>
    </row>
    <row r="34" spans="6:8" ht="15" x14ac:dyDescent="0.25">
      <c r="F34" s="431"/>
      <c r="G34" s="432"/>
      <c r="H34" s="430"/>
    </row>
    <row r="35" spans="6:8" ht="15" x14ac:dyDescent="0.25">
      <c r="F35" s="566" t="s">
        <v>552</v>
      </c>
      <c r="G35" s="567"/>
      <c r="H35" s="430">
        <f>+H19+H33</f>
        <v>383156800</v>
      </c>
    </row>
    <row r="36" spans="6:8" ht="15" x14ac:dyDescent="0.25">
      <c r="F36" s="431"/>
      <c r="G36" s="432"/>
      <c r="H36" s="430"/>
    </row>
    <row r="37" spans="6:8" ht="15" x14ac:dyDescent="0.25">
      <c r="F37" s="566" t="s">
        <v>118</v>
      </c>
      <c r="G37" s="567"/>
      <c r="H37" s="426"/>
    </row>
    <row r="38" spans="6:8" ht="15" x14ac:dyDescent="0.25">
      <c r="F38" s="423" t="s">
        <v>553</v>
      </c>
      <c r="G38" s="424">
        <v>45426</v>
      </c>
      <c r="H38" s="430">
        <v>296750000</v>
      </c>
    </row>
    <row r="39" spans="6:8" ht="15" x14ac:dyDescent="0.25">
      <c r="F39" s="423"/>
      <c r="G39" s="423"/>
      <c r="H39" s="430"/>
    </row>
    <row r="40" spans="6:8" ht="15" x14ac:dyDescent="0.25">
      <c r="F40" s="566" t="s">
        <v>119</v>
      </c>
      <c r="G40" s="567"/>
      <c r="H40" s="426"/>
    </row>
    <row r="41" spans="6:8" ht="15" x14ac:dyDescent="0.25">
      <c r="F41" s="423" t="s">
        <v>554</v>
      </c>
      <c r="G41" s="424">
        <v>45426</v>
      </c>
      <c r="H41" s="433">
        <v>296750000</v>
      </c>
    </row>
    <row r="42" spans="6:8" ht="15" x14ac:dyDescent="0.25">
      <c r="F42" s="423">
        <v>39804</v>
      </c>
      <c r="G42" s="424">
        <v>45490</v>
      </c>
      <c r="H42" s="433">
        <v>110000000</v>
      </c>
    </row>
    <row r="43" spans="6:8" ht="15" x14ac:dyDescent="0.25">
      <c r="F43" s="423">
        <v>39831</v>
      </c>
      <c r="G43" s="424">
        <v>45512</v>
      </c>
      <c r="H43" s="433">
        <v>110000000</v>
      </c>
    </row>
    <row r="44" spans="6:8" ht="15" x14ac:dyDescent="0.25">
      <c r="F44" s="423">
        <v>39831</v>
      </c>
      <c r="G44" s="424">
        <v>45516</v>
      </c>
      <c r="H44" s="433">
        <v>110000000</v>
      </c>
    </row>
    <row r="45" spans="6:8" ht="15" x14ac:dyDescent="0.25">
      <c r="F45" s="452">
        <v>39851</v>
      </c>
      <c r="G45" s="432">
        <v>45545</v>
      </c>
      <c r="H45" s="433">
        <v>110000000</v>
      </c>
    </row>
    <row r="46" spans="6:8" ht="15" x14ac:dyDescent="0.25">
      <c r="F46" s="423">
        <v>39889</v>
      </c>
      <c r="G46" s="424">
        <v>45576</v>
      </c>
      <c r="H46" s="430">
        <v>110000000</v>
      </c>
    </row>
    <row r="47" spans="6:8" ht="15" x14ac:dyDescent="0.25">
      <c r="F47" s="431">
        <v>39922</v>
      </c>
      <c r="G47" s="432">
        <v>45614</v>
      </c>
      <c r="H47" s="430">
        <v>110000000</v>
      </c>
    </row>
    <row r="48" spans="6:8" ht="15" x14ac:dyDescent="0.25">
      <c r="F48" s="566" t="s">
        <v>555</v>
      </c>
      <c r="G48" s="567"/>
      <c r="H48" s="430">
        <f>SUM(H41:H47)</f>
        <v>956750000</v>
      </c>
    </row>
    <row r="49" spans="6:8" ht="15" x14ac:dyDescent="0.25">
      <c r="F49" s="429"/>
      <c r="G49" s="423"/>
      <c r="H49" s="429"/>
    </row>
    <row r="50" spans="6:8" ht="21.75" customHeight="1" x14ac:dyDescent="0.25">
      <c r="F50" s="438" t="s">
        <v>556</v>
      </c>
      <c r="G50" s="438"/>
      <c r="H50" s="521">
        <f>+H19+H33+H38+H48</f>
        <v>1636656800</v>
      </c>
    </row>
    <row r="52" spans="6:8" x14ac:dyDescent="0.2">
      <c r="H52" s="428"/>
    </row>
    <row r="53" spans="6:8" x14ac:dyDescent="0.2">
      <c r="H53" s="428"/>
    </row>
    <row r="54" spans="6:8" x14ac:dyDescent="0.2">
      <c r="H54" s="428"/>
    </row>
  </sheetData>
  <mergeCells count="10">
    <mergeCell ref="F48:G48"/>
    <mergeCell ref="F37:G37"/>
    <mergeCell ref="F40:G40"/>
    <mergeCell ref="F14:G14"/>
    <mergeCell ref="B8:C8"/>
    <mergeCell ref="B10:C10"/>
    <mergeCell ref="B11:C11"/>
    <mergeCell ref="B9:C9"/>
    <mergeCell ref="F11:H11"/>
    <mergeCell ref="F35:G35"/>
  </mergeCells>
  <pageMargins left="0.31496062992125984" right="0.31496062992125984" top="0.74803149606299213" bottom="0.74803149606299213" header="0.31496062992125984" footer="0.31496062992125984"/>
  <pageSetup fitToHeight="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D21-3DBC-44D8-BAA4-C261AEC889CD}">
  <dimension ref="A1:F51"/>
  <sheetViews>
    <sheetView topLeftCell="A8" workbookViewId="0">
      <selection activeCell="C14" sqref="C14"/>
    </sheetView>
  </sheetViews>
  <sheetFormatPr baseColWidth="10" defaultColWidth="11.42578125" defaultRowHeight="12.75" x14ac:dyDescent="0.2"/>
  <cols>
    <col min="4" max="4" width="16.140625" bestFit="1" customWidth="1"/>
    <col min="5" max="5" width="15.28515625" customWidth="1"/>
  </cols>
  <sheetData>
    <row r="1" spans="1:6" ht="15.75" x14ac:dyDescent="0.25">
      <c r="A1" s="383" t="s">
        <v>557</v>
      </c>
      <c r="B1" s="383"/>
      <c r="C1" s="378"/>
      <c r="E1" s="378" t="s">
        <v>558</v>
      </c>
      <c r="F1" s="379"/>
    </row>
    <row r="3" spans="1:6" ht="15" x14ac:dyDescent="0.25">
      <c r="A3" s="378" t="s">
        <v>559</v>
      </c>
      <c r="B3" s="378"/>
      <c r="C3" s="380">
        <v>45200</v>
      </c>
      <c r="D3" s="378" t="s">
        <v>560</v>
      </c>
      <c r="E3" s="380">
        <v>45488</v>
      </c>
    </row>
    <row r="4" spans="1:6" ht="15" x14ac:dyDescent="0.25">
      <c r="A4" s="378" t="s">
        <v>309</v>
      </c>
      <c r="B4" s="378"/>
      <c r="C4" s="378">
        <v>0</v>
      </c>
      <c r="D4" s="378" t="s">
        <v>561</v>
      </c>
      <c r="E4" s="378">
        <v>0</v>
      </c>
    </row>
    <row r="5" spans="1:6" ht="15" x14ac:dyDescent="0.25">
      <c r="A5" s="402" t="s">
        <v>562</v>
      </c>
      <c r="B5" s="378"/>
      <c r="C5" s="378"/>
      <c r="D5" s="378"/>
      <c r="E5" s="378"/>
    </row>
    <row r="7" spans="1:6" ht="15" x14ac:dyDescent="0.25">
      <c r="A7" s="417" t="s">
        <v>563</v>
      </c>
      <c r="B7" s="417" t="s">
        <v>363</v>
      </c>
      <c r="C7" s="417" t="s">
        <v>564</v>
      </c>
      <c r="D7" s="417" t="s">
        <v>565</v>
      </c>
      <c r="E7" s="417" t="s">
        <v>566</v>
      </c>
    </row>
    <row r="8" spans="1:6" ht="15" x14ac:dyDescent="0.25">
      <c r="A8" s="378" t="s">
        <v>567</v>
      </c>
      <c r="B8" s="380">
        <v>45183</v>
      </c>
      <c r="C8" s="378">
        <v>39310</v>
      </c>
      <c r="D8" s="378">
        <v>0</v>
      </c>
      <c r="E8" s="381">
        <v>70000000</v>
      </c>
    </row>
    <row r="9" spans="1:6" ht="15" x14ac:dyDescent="0.25">
      <c r="A9" s="378" t="s">
        <v>567</v>
      </c>
      <c r="B9" s="380">
        <v>45216</v>
      </c>
      <c r="C9" s="378">
        <v>39363</v>
      </c>
      <c r="D9" s="378"/>
      <c r="E9" s="381">
        <v>20000000</v>
      </c>
    </row>
    <row r="10" spans="1:6" ht="15" x14ac:dyDescent="0.25">
      <c r="A10" s="378" t="s">
        <v>567</v>
      </c>
      <c r="B10" s="380">
        <v>45239</v>
      </c>
      <c r="C10" s="378">
        <v>39410</v>
      </c>
      <c r="D10" s="378">
        <v>0</v>
      </c>
      <c r="E10" s="381">
        <v>40000000</v>
      </c>
    </row>
    <row r="11" spans="1:6" ht="15" x14ac:dyDescent="0.25">
      <c r="A11" s="378" t="s">
        <v>567</v>
      </c>
      <c r="B11" s="380">
        <v>45278</v>
      </c>
      <c r="C11" s="378">
        <v>39476</v>
      </c>
      <c r="D11" s="378">
        <v>0</v>
      </c>
      <c r="E11" s="381">
        <v>21156800</v>
      </c>
    </row>
    <row r="12" spans="1:6" ht="15" x14ac:dyDescent="0.25">
      <c r="A12" s="378" t="s">
        <v>567</v>
      </c>
      <c r="B12" s="380">
        <v>45279</v>
      </c>
      <c r="C12" s="378">
        <v>39477</v>
      </c>
      <c r="D12" s="378">
        <v>0</v>
      </c>
      <c r="E12" s="381">
        <v>40000000</v>
      </c>
    </row>
    <row r="13" spans="1:6" ht="15" x14ac:dyDescent="0.25">
      <c r="A13" s="378" t="s">
        <v>567</v>
      </c>
      <c r="B13" s="380">
        <v>45303</v>
      </c>
      <c r="C13" s="378">
        <v>39515</v>
      </c>
      <c r="D13" s="378">
        <v>0</v>
      </c>
      <c r="E13" s="381">
        <v>20000000</v>
      </c>
    </row>
    <row r="14" spans="1:6" ht="15" x14ac:dyDescent="0.25">
      <c r="A14" s="378" t="s">
        <v>567</v>
      </c>
      <c r="B14" s="380">
        <v>45335</v>
      </c>
      <c r="C14" s="378">
        <v>39567</v>
      </c>
      <c r="D14" s="378">
        <v>0</v>
      </c>
      <c r="E14" s="381">
        <v>20000000</v>
      </c>
    </row>
    <row r="15" spans="1:6" ht="15" x14ac:dyDescent="0.25">
      <c r="A15" s="378" t="s">
        <v>567</v>
      </c>
      <c r="B15" s="380">
        <v>45365</v>
      </c>
      <c r="C15" s="378">
        <v>39616</v>
      </c>
      <c r="D15" s="378">
        <v>0</v>
      </c>
      <c r="E15" s="381">
        <v>20000000</v>
      </c>
    </row>
    <row r="16" spans="1:6" ht="15" x14ac:dyDescent="0.25">
      <c r="A16" s="378" t="s">
        <v>567</v>
      </c>
      <c r="B16" s="380">
        <v>45386</v>
      </c>
      <c r="C16" s="378">
        <v>39651</v>
      </c>
      <c r="D16" s="378">
        <v>0</v>
      </c>
      <c r="E16" s="381">
        <v>20000000</v>
      </c>
    </row>
    <row r="17" spans="1:5" ht="15" x14ac:dyDescent="0.25">
      <c r="A17" s="378" t="s">
        <v>567</v>
      </c>
      <c r="B17" s="380">
        <v>45422</v>
      </c>
      <c r="C17" s="378">
        <v>39713</v>
      </c>
      <c r="D17" s="378">
        <v>0</v>
      </c>
      <c r="E17" s="381">
        <v>20000000</v>
      </c>
    </row>
    <row r="18" spans="1:5" ht="15" x14ac:dyDescent="0.25">
      <c r="A18" s="378" t="s">
        <v>567</v>
      </c>
      <c r="B18" s="380">
        <v>45460</v>
      </c>
      <c r="C18" s="378">
        <v>39749</v>
      </c>
      <c r="D18" s="378">
        <v>0</v>
      </c>
      <c r="E18" s="381">
        <v>20000000</v>
      </c>
    </row>
    <row r="19" spans="1:5" ht="15" x14ac:dyDescent="0.25">
      <c r="A19" s="451" t="s">
        <v>567</v>
      </c>
      <c r="B19" s="380">
        <v>45540</v>
      </c>
      <c r="C19" s="378">
        <v>39848</v>
      </c>
      <c r="D19" s="378">
        <v>0</v>
      </c>
      <c r="E19" s="381">
        <v>24000000</v>
      </c>
    </row>
    <row r="20" spans="1:5" ht="15" x14ac:dyDescent="0.25">
      <c r="A20" s="451" t="s">
        <v>567</v>
      </c>
      <c r="B20" s="380">
        <v>45576</v>
      </c>
      <c r="C20" s="378">
        <v>39885</v>
      </c>
      <c r="D20" s="378">
        <v>0</v>
      </c>
      <c r="E20" s="381">
        <v>8000000</v>
      </c>
    </row>
    <row r="21" spans="1:5" ht="15" x14ac:dyDescent="0.25">
      <c r="A21" s="378" t="s">
        <v>567</v>
      </c>
      <c r="B21" s="380">
        <v>45608</v>
      </c>
      <c r="C21" s="378">
        <v>39926</v>
      </c>
      <c r="D21" s="378">
        <v>0</v>
      </c>
      <c r="E21" s="381">
        <v>8000000</v>
      </c>
    </row>
    <row r="22" spans="1:5" ht="15" x14ac:dyDescent="0.25">
      <c r="A22" s="378" t="s">
        <v>567</v>
      </c>
      <c r="B22" s="380">
        <v>45623</v>
      </c>
      <c r="C22" s="378">
        <v>39936</v>
      </c>
      <c r="D22" s="378">
        <v>0</v>
      </c>
      <c r="E22" s="381">
        <v>12000000</v>
      </c>
    </row>
    <row r="23" spans="1:5" ht="15" x14ac:dyDescent="0.25">
      <c r="A23" s="378" t="s">
        <v>567</v>
      </c>
      <c r="B23" s="380">
        <v>45623</v>
      </c>
      <c r="C23" s="378">
        <v>39941</v>
      </c>
      <c r="D23" s="378">
        <v>0</v>
      </c>
      <c r="E23" s="381">
        <v>20000000</v>
      </c>
    </row>
    <row r="24" spans="1:5" ht="15.75" thickBot="1" x14ac:dyDescent="0.3">
      <c r="A24" s="378"/>
      <c r="B24" s="378"/>
      <c r="C24" s="378" t="s">
        <v>568</v>
      </c>
      <c r="D24" s="378"/>
      <c r="E24" s="382">
        <f>SUM(E8:E23)</f>
        <v>383156800</v>
      </c>
    </row>
    <row r="25" spans="1:5" ht="15.75" thickTop="1" x14ac:dyDescent="0.25">
      <c r="A25" s="378"/>
      <c r="B25" s="378"/>
      <c r="C25" s="378"/>
      <c r="D25" s="378"/>
      <c r="E25" s="378"/>
    </row>
    <row r="32" spans="1:5" ht="15.75" x14ac:dyDescent="0.25">
      <c r="A32" s="383" t="s">
        <v>557</v>
      </c>
      <c r="B32" s="383"/>
      <c r="C32" s="378"/>
      <c r="E32" s="378" t="s">
        <v>558</v>
      </c>
    </row>
    <row r="34" spans="1:5" ht="15" x14ac:dyDescent="0.25">
      <c r="A34" s="378" t="s">
        <v>559</v>
      </c>
      <c r="B34" s="378"/>
      <c r="C34" s="380">
        <v>45200</v>
      </c>
      <c r="D34" s="378" t="s">
        <v>560</v>
      </c>
      <c r="E34" s="380">
        <v>45523</v>
      </c>
    </row>
    <row r="35" spans="1:5" ht="15" x14ac:dyDescent="0.25">
      <c r="A35" s="378" t="s">
        <v>309</v>
      </c>
      <c r="B35" s="378"/>
      <c r="C35" s="378">
        <v>0</v>
      </c>
      <c r="D35" s="378" t="s">
        <v>561</v>
      </c>
      <c r="E35" s="378">
        <v>0</v>
      </c>
    </row>
    <row r="36" spans="1:5" ht="15" x14ac:dyDescent="0.25">
      <c r="A36" s="402" t="s">
        <v>569</v>
      </c>
      <c r="B36" s="378"/>
      <c r="C36" s="378"/>
      <c r="D36" s="378"/>
      <c r="E36" s="378"/>
    </row>
    <row r="38" spans="1:5" ht="15" x14ac:dyDescent="0.25">
      <c r="A38" s="384" t="s">
        <v>563</v>
      </c>
      <c r="B38" s="384" t="s">
        <v>363</v>
      </c>
      <c r="C38" s="384" t="s">
        <v>564</v>
      </c>
      <c r="D38" s="384" t="s">
        <v>565</v>
      </c>
      <c r="E38" s="384" t="s">
        <v>566</v>
      </c>
    </row>
    <row r="39" spans="1:5" ht="15" x14ac:dyDescent="0.25">
      <c r="A39" s="378" t="s">
        <v>567</v>
      </c>
      <c r="B39" s="380">
        <v>45426</v>
      </c>
      <c r="C39" s="460" t="s">
        <v>570</v>
      </c>
      <c r="E39" s="461">
        <v>296750000</v>
      </c>
    </row>
    <row r="40" spans="1:5" ht="15" x14ac:dyDescent="0.25">
      <c r="A40" s="378" t="s">
        <v>567</v>
      </c>
      <c r="B40" s="401">
        <v>45490</v>
      </c>
      <c r="C40">
        <v>39804</v>
      </c>
      <c r="D40" s="400"/>
      <c r="E40" s="381">
        <v>110000000</v>
      </c>
    </row>
    <row r="41" spans="1:5" ht="15.75" thickBot="1" x14ac:dyDescent="0.3">
      <c r="A41" s="378"/>
      <c r="B41" s="380"/>
      <c r="C41" s="378"/>
      <c r="D41" s="461"/>
      <c r="E41" s="382">
        <f>SUM(E39:E40)</f>
        <v>406750000</v>
      </c>
    </row>
    <row r="42" spans="1:5" ht="15.75" thickTop="1" x14ac:dyDescent="0.25">
      <c r="A42" s="378"/>
      <c r="B42" s="380"/>
      <c r="C42" s="378"/>
      <c r="D42" s="461"/>
      <c r="E42" s="381"/>
    </row>
    <row r="43" spans="1:5" ht="15" x14ac:dyDescent="0.25">
      <c r="A43" s="378"/>
      <c r="B43" s="380"/>
      <c r="C43" s="378"/>
      <c r="D43" s="461"/>
      <c r="E43" s="381"/>
    </row>
    <row r="44" spans="1:5" ht="15" x14ac:dyDescent="0.25">
      <c r="A44" s="378"/>
      <c r="B44" s="380"/>
      <c r="C44" s="378"/>
      <c r="D44" s="461"/>
      <c r="E44" s="381"/>
    </row>
    <row r="45" spans="1:5" ht="15" x14ac:dyDescent="0.25">
      <c r="A45" s="378"/>
      <c r="B45" s="380"/>
      <c r="C45" s="378"/>
      <c r="D45" s="378"/>
      <c r="E45" s="381"/>
    </row>
    <row r="46" spans="1:5" ht="15" x14ac:dyDescent="0.25">
      <c r="A46" s="378"/>
      <c r="B46" s="380"/>
      <c r="C46" s="378"/>
      <c r="D46" s="378"/>
      <c r="E46" s="381"/>
    </row>
    <row r="47" spans="1:5" ht="15" x14ac:dyDescent="0.25">
      <c r="A47" s="378"/>
      <c r="B47" s="380"/>
      <c r="C47" s="378"/>
      <c r="D47" s="378"/>
      <c r="E47" s="381"/>
    </row>
    <row r="48" spans="1:5" ht="15" x14ac:dyDescent="0.25">
      <c r="A48" s="378"/>
      <c r="B48" s="380"/>
      <c r="C48" s="378"/>
      <c r="D48" s="378"/>
      <c r="E48" s="381"/>
    </row>
    <row r="49" spans="1:5" ht="15" x14ac:dyDescent="0.25">
      <c r="A49" s="378"/>
      <c r="B49" s="380"/>
      <c r="C49" s="378"/>
      <c r="D49" s="378"/>
      <c r="E49" s="381"/>
    </row>
    <row r="50" spans="1:5" ht="15" x14ac:dyDescent="0.25">
      <c r="A50" s="378"/>
      <c r="B50" s="378"/>
      <c r="C50" s="378"/>
      <c r="D50" s="378"/>
      <c r="E50" s="381"/>
    </row>
    <row r="51" spans="1:5" ht="15" x14ac:dyDescent="0.25">
      <c r="A51" s="378"/>
      <c r="B51" s="378"/>
      <c r="C51" s="378"/>
      <c r="D51" s="378"/>
      <c r="E51" s="381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L44"/>
  <sheetViews>
    <sheetView topLeftCell="B1" zoomScale="98" zoomScaleNormal="98" workbookViewId="0">
      <selection activeCell="C14" sqref="C14"/>
    </sheetView>
  </sheetViews>
  <sheetFormatPr baseColWidth="10" defaultColWidth="9.140625" defaultRowHeight="24.75" customHeight="1" x14ac:dyDescent="0.25"/>
  <cols>
    <col min="1" max="1" width="4" style="1" customWidth="1"/>
    <col min="2" max="2" width="26" style="1" bestFit="1" customWidth="1"/>
    <col min="3" max="3" width="20.5703125" style="1" bestFit="1" customWidth="1"/>
    <col min="4" max="4" width="18.85546875" style="1" bestFit="1" customWidth="1"/>
    <col min="5" max="5" width="20" style="1" bestFit="1" customWidth="1"/>
    <col min="6" max="6" width="23.42578125" style="1" bestFit="1" customWidth="1"/>
    <col min="7" max="7" width="2.42578125" style="1" customWidth="1"/>
    <col min="8" max="9" width="18.42578125" style="1" bestFit="1" customWidth="1"/>
    <col min="10" max="10" width="22.5703125" style="1" bestFit="1" customWidth="1"/>
    <col min="11" max="11" width="12.42578125" style="1" bestFit="1" customWidth="1"/>
    <col min="12" max="12" width="14.5703125" style="1" bestFit="1" customWidth="1"/>
    <col min="13" max="13" width="13.28515625" style="1" bestFit="1" customWidth="1"/>
    <col min="14" max="16384" width="9.140625" style="1"/>
  </cols>
  <sheetData>
    <row r="1" spans="2:12" ht="15.75" x14ac:dyDescent="0.25"/>
    <row r="2" spans="2:12" ht="15.75" x14ac:dyDescent="0.25"/>
    <row r="3" spans="2:12" s="138" customFormat="1" ht="12.75" x14ac:dyDescent="0.2"/>
    <row r="4" spans="2:12" s="138" customFormat="1" ht="12.75" x14ac:dyDescent="0.2"/>
    <row r="5" spans="2:12" s="138" customFormat="1" ht="12.75" x14ac:dyDescent="0.2"/>
    <row r="6" spans="2:12" s="138" customFormat="1" ht="15.75" x14ac:dyDescent="0.25">
      <c r="B6" s="571" t="s">
        <v>571</v>
      </c>
      <c r="C6" s="571"/>
      <c r="D6" s="571"/>
      <c r="E6" s="571"/>
      <c r="F6" s="571"/>
      <c r="G6" s="571"/>
      <c r="H6" s="571"/>
      <c r="I6" s="571"/>
      <c r="J6" s="571"/>
    </row>
    <row r="7" spans="2:12" s="138" customFormat="1" ht="15.75" x14ac:dyDescent="0.2">
      <c r="B7" s="573" t="s">
        <v>280</v>
      </c>
      <c r="C7" s="573"/>
      <c r="D7" s="573"/>
      <c r="E7" s="573"/>
      <c r="F7" s="573"/>
      <c r="G7" s="573"/>
      <c r="H7" s="573"/>
      <c r="I7" s="573"/>
      <c r="J7" s="573"/>
    </row>
    <row r="8" spans="2:12" s="138" customFormat="1" ht="15.75" x14ac:dyDescent="0.25">
      <c r="B8" s="571" t="s">
        <v>820</v>
      </c>
      <c r="C8" s="571"/>
      <c r="D8" s="571"/>
      <c r="E8" s="571"/>
      <c r="F8" s="571"/>
      <c r="G8" s="571"/>
      <c r="H8" s="571"/>
      <c r="I8" s="571"/>
      <c r="J8" s="571"/>
    </row>
    <row r="9" spans="2:12" s="138" customFormat="1" ht="15.75" x14ac:dyDescent="0.25">
      <c r="B9" s="572">
        <v>45626</v>
      </c>
      <c r="C9" s="572"/>
      <c r="D9" s="572"/>
      <c r="E9" s="572"/>
      <c r="F9" s="572"/>
      <c r="G9" s="572"/>
      <c r="H9" s="572"/>
      <c r="I9" s="572"/>
      <c r="J9" s="572"/>
    </row>
    <row r="10" spans="2:12" s="138" customFormat="1" ht="16.5" thickBot="1" x14ac:dyDescent="0.3">
      <c r="B10" s="313"/>
      <c r="C10" s="316"/>
      <c r="D10" s="316"/>
      <c r="E10" s="316"/>
      <c r="F10" s="313"/>
      <c r="G10" s="313"/>
      <c r="H10" s="235"/>
      <c r="I10" s="314"/>
      <c r="J10" s="315"/>
    </row>
    <row r="11" spans="2:12" s="138" customFormat="1" ht="54.75" customHeight="1" thickBot="1" x14ac:dyDescent="0.25">
      <c r="B11" s="317" t="s">
        <v>266</v>
      </c>
      <c r="C11" s="318" t="s">
        <v>572</v>
      </c>
      <c r="D11" s="318" t="s">
        <v>573</v>
      </c>
      <c r="E11" s="318" t="s">
        <v>574</v>
      </c>
      <c r="F11" s="318" t="s">
        <v>575</v>
      </c>
      <c r="G11" s="318"/>
      <c r="H11" s="318" t="s">
        <v>576</v>
      </c>
      <c r="I11" s="318" t="s">
        <v>577</v>
      </c>
      <c r="J11" s="319" t="s">
        <v>578</v>
      </c>
    </row>
    <row r="12" spans="2:12" ht="24.75" customHeight="1" x14ac:dyDescent="0.25">
      <c r="B12" s="320" t="s">
        <v>579</v>
      </c>
      <c r="C12" s="477">
        <v>55491632.579999998</v>
      </c>
      <c r="D12" s="477">
        <v>1003826</v>
      </c>
      <c r="E12" s="477">
        <v>25682855.010000002</v>
      </c>
      <c r="F12" s="478">
        <f>SUM(C12:E12)</f>
        <v>82178313.590000004</v>
      </c>
      <c r="G12" s="477"/>
      <c r="H12" s="478">
        <v>5881555.6499999994</v>
      </c>
      <c r="I12" s="478">
        <f>+H12</f>
        <v>5881555.6499999994</v>
      </c>
      <c r="J12" s="479">
        <f>+F12+I12</f>
        <v>88059869.24000001</v>
      </c>
      <c r="L12" s="2"/>
    </row>
    <row r="13" spans="2:12" ht="24.75" customHeight="1" x14ac:dyDescent="0.25">
      <c r="B13" s="321" t="s">
        <v>580</v>
      </c>
      <c r="C13" s="480">
        <v>0</v>
      </c>
      <c r="D13" s="480">
        <v>0</v>
      </c>
      <c r="E13" s="480">
        <v>0</v>
      </c>
      <c r="F13" s="478">
        <f>SUM(C13:E13)</f>
        <v>0</v>
      </c>
      <c r="G13" s="481"/>
      <c r="H13" s="480">
        <v>0</v>
      </c>
      <c r="I13" s="480">
        <f>+H13</f>
        <v>0</v>
      </c>
      <c r="J13" s="479">
        <f t="shared" ref="J13:J16" si="0">+F13+I13</f>
        <v>0</v>
      </c>
      <c r="L13" s="2"/>
    </row>
    <row r="14" spans="2:12" ht="24.75" customHeight="1" x14ac:dyDescent="0.25">
      <c r="B14" s="321" t="s">
        <v>581</v>
      </c>
      <c r="C14" s="480">
        <v>0</v>
      </c>
      <c r="D14" s="480">
        <v>0</v>
      </c>
      <c r="E14" s="480">
        <v>0</v>
      </c>
      <c r="F14" s="478">
        <f>SUM(C14:E14)</f>
        <v>0</v>
      </c>
      <c r="G14" s="481"/>
      <c r="H14" s="480">
        <v>0</v>
      </c>
      <c r="I14" s="478">
        <f>+H14</f>
        <v>0</v>
      </c>
      <c r="J14" s="479">
        <f t="shared" si="0"/>
        <v>0</v>
      </c>
      <c r="L14" s="2"/>
    </row>
    <row r="15" spans="2:12" ht="24.75" customHeight="1" x14ac:dyDescent="0.25">
      <c r="B15" s="321" t="s">
        <v>582</v>
      </c>
      <c r="C15" s="480">
        <v>0</v>
      </c>
      <c r="D15" s="480">
        <v>0</v>
      </c>
      <c r="E15" s="480">
        <v>0</v>
      </c>
      <c r="F15" s="478">
        <f>SUM(C15:E15)</f>
        <v>0</v>
      </c>
      <c r="G15" s="481"/>
      <c r="H15" s="480">
        <v>0</v>
      </c>
      <c r="I15" s="480">
        <f>+H15</f>
        <v>0</v>
      </c>
      <c r="J15" s="479">
        <f t="shared" si="0"/>
        <v>0</v>
      </c>
    </row>
    <row r="16" spans="2:12" ht="24.75" customHeight="1" x14ac:dyDescent="0.4">
      <c r="B16" s="321" t="s">
        <v>583</v>
      </c>
      <c r="C16" s="482">
        <v>0</v>
      </c>
      <c r="D16" s="482">
        <v>0</v>
      </c>
      <c r="E16" s="482">
        <v>0</v>
      </c>
      <c r="F16" s="483">
        <f>SUM(C16:E16)</f>
        <v>0</v>
      </c>
      <c r="G16" s="484"/>
      <c r="H16" s="482">
        <v>0</v>
      </c>
      <c r="I16" s="482">
        <f>+H16</f>
        <v>0</v>
      </c>
      <c r="J16" s="485">
        <f t="shared" si="0"/>
        <v>0</v>
      </c>
    </row>
    <row r="17" spans="2:10" ht="39" customHeight="1" x14ac:dyDescent="0.25">
      <c r="B17" s="365" t="s">
        <v>584</v>
      </c>
      <c r="C17" s="486">
        <f>SUM(C12:C16)</f>
        <v>55491632.579999998</v>
      </c>
      <c r="D17" s="486">
        <f>SUM(D12:D16)</f>
        <v>1003826</v>
      </c>
      <c r="E17" s="486">
        <f>SUM(E12:E16)</f>
        <v>25682855.010000002</v>
      </c>
      <c r="F17" s="486">
        <f>SUM(F12:F16)</f>
        <v>82178313.590000004</v>
      </c>
      <c r="G17" s="487"/>
      <c r="H17" s="486">
        <f>SUM(H12:H16)</f>
        <v>5881555.6499999994</v>
      </c>
      <c r="I17" s="486">
        <f>SUM(I12:I16)</f>
        <v>5881555.6499999994</v>
      </c>
      <c r="J17" s="488">
        <f>SUM(J12:J16)</f>
        <v>88059869.24000001</v>
      </c>
    </row>
    <row r="18" spans="2:10" ht="24.75" customHeight="1" x14ac:dyDescent="0.25">
      <c r="B18" s="321"/>
      <c r="C18" s="480"/>
      <c r="D18" s="480"/>
      <c r="E18" s="480"/>
      <c r="F18" s="480"/>
      <c r="G18" s="481"/>
      <c r="H18" s="480"/>
      <c r="I18" s="486"/>
      <c r="J18" s="488"/>
    </row>
    <row r="19" spans="2:10" ht="38.25" customHeight="1" x14ac:dyDescent="0.25">
      <c r="B19" s="518" t="s">
        <v>585</v>
      </c>
      <c r="C19" s="486"/>
      <c r="D19" s="486"/>
      <c r="E19" s="486"/>
      <c r="F19" s="486"/>
      <c r="G19" s="487"/>
      <c r="H19" s="486"/>
      <c r="I19" s="486"/>
      <c r="J19" s="488"/>
    </row>
    <row r="20" spans="2:10" ht="24.75" customHeight="1" x14ac:dyDescent="0.25">
      <c r="B20" s="321" t="s">
        <v>579</v>
      </c>
      <c r="C20" s="480">
        <v>37809274.519999996</v>
      </c>
      <c r="D20" s="480">
        <v>606326.12</v>
      </c>
      <c r="E20" s="480">
        <v>20801227.829999998</v>
      </c>
      <c r="F20" s="478">
        <f>SUM(C20:E20)</f>
        <v>59216828.469999991</v>
      </c>
      <c r="G20" s="481"/>
      <c r="H20" s="480">
        <v>5881555.6499999994</v>
      </c>
      <c r="I20" s="480">
        <f>+H20</f>
        <v>5881555.6499999994</v>
      </c>
      <c r="J20" s="489">
        <f>+F20+I20</f>
        <v>65098384.11999999</v>
      </c>
    </row>
    <row r="21" spans="2:10" ht="24.75" customHeight="1" x14ac:dyDescent="0.25">
      <c r="B21" s="321" t="s">
        <v>586</v>
      </c>
      <c r="C21" s="480">
        <v>540410.30000000005</v>
      </c>
      <c r="D21" s="480">
        <v>16730.45</v>
      </c>
      <c r="E21" s="480">
        <v>102397.66</v>
      </c>
      <c r="F21" s="478">
        <f>SUM(C21:E21)</f>
        <v>659538.41</v>
      </c>
      <c r="G21" s="481"/>
      <c r="H21" s="480">
        <v>0</v>
      </c>
      <c r="I21" s="480">
        <f>+H21</f>
        <v>0</v>
      </c>
      <c r="J21" s="479">
        <f>+F21+I21</f>
        <v>659538.41</v>
      </c>
    </row>
    <row r="22" spans="2:10" ht="24.75" customHeight="1" x14ac:dyDescent="0.25">
      <c r="B22" s="321" t="s">
        <v>582</v>
      </c>
      <c r="C22" s="480">
        <v>0</v>
      </c>
      <c r="D22" s="480">
        <v>0</v>
      </c>
      <c r="E22" s="480">
        <v>0</v>
      </c>
      <c r="F22" s="478">
        <f>SUM(C22:E22)</f>
        <v>0</v>
      </c>
      <c r="G22" s="481"/>
      <c r="H22" s="480">
        <v>0</v>
      </c>
      <c r="I22" s="480">
        <f>+H22</f>
        <v>0</v>
      </c>
      <c r="J22" s="479">
        <f>+F22+I22</f>
        <v>0</v>
      </c>
    </row>
    <row r="23" spans="2:10" ht="24.75" customHeight="1" x14ac:dyDescent="0.4">
      <c r="B23" s="321" t="s">
        <v>587</v>
      </c>
      <c r="C23" s="482">
        <v>0</v>
      </c>
      <c r="D23" s="482">
        <v>0</v>
      </c>
      <c r="E23" s="482">
        <v>0</v>
      </c>
      <c r="F23" s="483">
        <f>SUM(C23:E23)</f>
        <v>0</v>
      </c>
      <c r="G23" s="484"/>
      <c r="H23" s="482">
        <v>0</v>
      </c>
      <c r="I23" s="482">
        <f>+H23</f>
        <v>0</v>
      </c>
      <c r="J23" s="485">
        <f>+F23+I23</f>
        <v>0</v>
      </c>
    </row>
    <row r="24" spans="2:10" ht="41.25" customHeight="1" x14ac:dyDescent="0.4">
      <c r="B24" s="323" t="s">
        <v>588</v>
      </c>
      <c r="C24" s="490">
        <f>SUM(C20:C23)</f>
        <v>38349684.819999993</v>
      </c>
      <c r="D24" s="490">
        <f t="shared" ref="D24:F24" si="1">SUM(D20:D23)</f>
        <v>623056.56999999995</v>
      </c>
      <c r="E24" s="490">
        <f t="shared" si="1"/>
        <v>20903625.489999998</v>
      </c>
      <c r="F24" s="490">
        <f t="shared" si="1"/>
        <v>59876366.879999988</v>
      </c>
      <c r="G24" s="491"/>
      <c r="H24" s="490">
        <f>SUM(H20:H23)</f>
        <v>5881555.6499999994</v>
      </c>
      <c r="I24" s="490">
        <f>SUM(I20:I23)</f>
        <v>5881555.6499999994</v>
      </c>
      <c r="J24" s="492">
        <f>SUM(J20:J23)</f>
        <v>65757922.529999986</v>
      </c>
    </row>
    <row r="25" spans="2:10" ht="24.75" customHeight="1" x14ac:dyDescent="0.4">
      <c r="B25" s="322"/>
      <c r="C25" s="493"/>
      <c r="D25" s="493"/>
      <c r="E25" s="493"/>
      <c r="F25" s="493"/>
      <c r="G25" s="494"/>
      <c r="H25" s="480"/>
      <c r="I25" s="480"/>
      <c r="J25" s="489"/>
    </row>
    <row r="26" spans="2:10" ht="63.75" customHeight="1" x14ac:dyDescent="0.4">
      <c r="B26" s="365" t="s">
        <v>821</v>
      </c>
      <c r="C26" s="495">
        <f>+C17-C24</f>
        <v>17141947.760000005</v>
      </c>
      <c r="D26" s="495">
        <f t="shared" ref="D26:F26" si="2">+D17-D24</f>
        <v>380769.43000000005</v>
      </c>
      <c r="E26" s="495">
        <f t="shared" si="2"/>
        <v>4779229.5200000033</v>
      </c>
      <c r="F26" s="495">
        <f t="shared" si="2"/>
        <v>22301946.710000016</v>
      </c>
      <c r="G26" s="496"/>
      <c r="H26" s="495">
        <f t="shared" ref="H26:I26" si="3">+H17-H24</f>
        <v>0</v>
      </c>
      <c r="I26" s="495">
        <f t="shared" si="3"/>
        <v>0</v>
      </c>
      <c r="J26" s="497">
        <f>+J17-J24</f>
        <v>22301946.710000023</v>
      </c>
    </row>
    <row r="27" spans="2:10" ht="24.75" customHeight="1" thickBot="1" x14ac:dyDescent="0.3">
      <c r="B27" s="324"/>
      <c r="C27" s="498"/>
      <c r="D27" s="498"/>
      <c r="E27" s="498"/>
      <c r="F27" s="498"/>
      <c r="G27" s="498"/>
      <c r="H27" s="499"/>
      <c r="I27" s="499"/>
      <c r="J27" s="167"/>
    </row>
    <row r="28" spans="2:10" ht="24.75" customHeight="1" x14ac:dyDescent="0.25">
      <c r="B28" s="2"/>
      <c r="C28" s="67"/>
      <c r="D28" s="67"/>
      <c r="E28" s="355"/>
      <c r="F28" s="67"/>
      <c r="G28" s="67"/>
      <c r="H28" s="67"/>
      <c r="I28" s="67"/>
      <c r="J28" s="67"/>
    </row>
    <row r="29" spans="2:10" ht="24.75" customHeight="1" x14ac:dyDescent="0.25">
      <c r="J29" s="20"/>
    </row>
    <row r="30" spans="2:10" ht="24.75" customHeight="1" x14ac:dyDescent="0.25">
      <c r="E30" s="2"/>
      <c r="F30" s="20"/>
    </row>
    <row r="31" spans="2:10" ht="24.75" customHeight="1" x14ac:dyDescent="0.25">
      <c r="E31" s="2"/>
      <c r="F31" s="20"/>
      <c r="J31" s="20"/>
    </row>
    <row r="32" spans="2:10" ht="24.75" customHeight="1" x14ac:dyDescent="0.25">
      <c r="E32" s="2"/>
    </row>
    <row r="33" spans="5:5" ht="24.75" customHeight="1" x14ac:dyDescent="0.25">
      <c r="E33" s="2"/>
    </row>
    <row r="34" spans="5:5" ht="24.75" customHeight="1" x14ac:dyDescent="0.25">
      <c r="E34" s="2"/>
    </row>
    <row r="35" spans="5:5" ht="24.75" customHeight="1" x14ac:dyDescent="0.25">
      <c r="E35" s="2"/>
    </row>
    <row r="36" spans="5:5" ht="24.75" customHeight="1" x14ac:dyDescent="0.25">
      <c r="E36" s="2"/>
    </row>
    <row r="37" spans="5:5" ht="24.75" customHeight="1" x14ac:dyDescent="0.25">
      <c r="E37" s="2"/>
    </row>
    <row r="38" spans="5:5" ht="24.75" customHeight="1" x14ac:dyDescent="0.25">
      <c r="E38" s="2"/>
    </row>
    <row r="39" spans="5:5" ht="24.75" customHeight="1" x14ac:dyDescent="0.25">
      <c r="E39" s="2"/>
    </row>
    <row r="40" spans="5:5" ht="24.75" customHeight="1" x14ac:dyDescent="0.25">
      <c r="E40" s="2"/>
    </row>
    <row r="41" spans="5:5" ht="24.75" customHeight="1" x14ac:dyDescent="0.25">
      <c r="E41" s="2"/>
    </row>
    <row r="42" spans="5:5" ht="24.75" customHeight="1" x14ac:dyDescent="0.25">
      <c r="E42" s="2"/>
    </row>
    <row r="43" spans="5:5" ht="24.75" customHeight="1" x14ac:dyDescent="0.25">
      <c r="E43" s="2"/>
    </row>
    <row r="44" spans="5:5" ht="24.75" customHeight="1" x14ac:dyDescent="0.25">
      <c r="E44" s="2"/>
    </row>
  </sheetData>
  <mergeCells count="4">
    <mergeCell ref="B8:J8"/>
    <mergeCell ref="B9:J9"/>
    <mergeCell ref="B6:J6"/>
    <mergeCell ref="B7:J7"/>
  </mergeCells>
  <pageMargins left="0.19685039370078741" right="0.19685039370078741" top="0.74803149606299213" bottom="0.74803149606299213" header="0.31496062992125984" footer="0.31496062992125984"/>
  <pageSetup scale="6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11"/>
  <sheetViews>
    <sheetView topLeftCell="A100" zoomScaleNormal="100" zoomScaleSheetLayoutView="90" workbookViewId="0">
      <selection activeCell="C14" sqref="C14"/>
    </sheetView>
  </sheetViews>
  <sheetFormatPr baseColWidth="10" defaultColWidth="9.140625" defaultRowHeight="24.75" customHeight="1" x14ac:dyDescent="0.25"/>
  <cols>
    <col min="1" max="1" width="9.140625" style="1"/>
    <col min="2" max="2" width="65.42578125" style="1" customWidth="1"/>
    <col min="3" max="3" width="25.28515625" style="1" customWidth="1"/>
    <col min="4" max="4" width="31" style="1" customWidth="1"/>
    <col min="5" max="5" width="23.85546875" style="1" customWidth="1"/>
    <col min="6" max="6" width="17.42578125" style="1" bestFit="1" customWidth="1"/>
    <col min="7" max="7" width="16.85546875" style="1" customWidth="1"/>
    <col min="8" max="8" width="12.42578125" style="1" customWidth="1"/>
    <col min="9" max="16384" width="9.140625" style="1"/>
  </cols>
  <sheetData>
    <row r="1" spans="2:7" ht="24.75" customHeight="1" x14ac:dyDescent="0.25">
      <c r="C1" s="2"/>
      <c r="D1" s="2"/>
      <c r="E1" s="2"/>
    </row>
    <row r="2" spans="2:7" ht="24.75" customHeight="1" x14ac:dyDescent="0.25">
      <c r="B2" s="16"/>
      <c r="C2" s="16"/>
      <c r="D2" s="16"/>
      <c r="E2" s="16"/>
    </row>
    <row r="3" spans="2:7" ht="24.75" customHeight="1" x14ac:dyDescent="0.25">
      <c r="B3" s="539" t="s">
        <v>589</v>
      </c>
      <c r="C3" s="539"/>
      <c r="D3" s="16"/>
      <c r="E3" s="16"/>
    </row>
    <row r="4" spans="2:7" ht="24.75" customHeight="1" x14ac:dyDescent="0.25">
      <c r="B4" s="539" t="s">
        <v>280</v>
      </c>
      <c r="C4" s="539"/>
      <c r="D4" s="16"/>
      <c r="E4" s="16"/>
    </row>
    <row r="5" spans="2:7" ht="24.75" customHeight="1" x14ac:dyDescent="0.25">
      <c r="B5" s="539" t="s">
        <v>590</v>
      </c>
      <c r="C5" s="539"/>
      <c r="D5" s="16"/>
      <c r="E5" s="16"/>
    </row>
    <row r="6" spans="2:7" ht="24.75" customHeight="1" x14ac:dyDescent="0.25">
      <c r="B6" s="551">
        <v>45596</v>
      </c>
      <c r="C6" s="551"/>
      <c r="D6" s="102"/>
      <c r="F6" s="19"/>
      <c r="G6" s="67"/>
    </row>
    <row r="7" spans="2:7" ht="24.75" customHeight="1" thickBot="1" x14ac:dyDescent="0.3">
      <c r="B7" s="71"/>
      <c r="C7" s="296"/>
      <c r="D7" s="237"/>
      <c r="F7" s="19"/>
      <c r="G7" s="2"/>
    </row>
    <row r="8" spans="2:7" ht="24.75" customHeight="1" thickBot="1" x14ac:dyDescent="0.3">
      <c r="B8" s="73" t="s">
        <v>266</v>
      </c>
      <c r="C8" s="75" t="s">
        <v>283</v>
      </c>
      <c r="D8" s="237"/>
      <c r="F8" s="19"/>
      <c r="G8" s="2"/>
    </row>
    <row r="9" spans="2:7" ht="24.75" customHeight="1" x14ac:dyDescent="0.25">
      <c r="B9" s="297" t="s">
        <v>130</v>
      </c>
      <c r="C9" s="362">
        <v>5413808.0199999996</v>
      </c>
      <c r="D9" s="237"/>
      <c r="E9" s="30"/>
      <c r="F9" s="19"/>
      <c r="G9" s="67"/>
    </row>
    <row r="10" spans="2:7" ht="24.75" customHeight="1" x14ac:dyDescent="0.25">
      <c r="B10" s="298" t="s">
        <v>131</v>
      </c>
      <c r="C10" s="238">
        <v>532850</v>
      </c>
      <c r="D10" s="237"/>
      <c r="E10" s="20"/>
      <c r="F10" s="19"/>
      <c r="G10" s="2"/>
    </row>
    <row r="11" spans="2:7" ht="24.75" customHeight="1" x14ac:dyDescent="0.25">
      <c r="B11" s="298" t="s">
        <v>132</v>
      </c>
      <c r="C11" s="238">
        <v>182218.5</v>
      </c>
      <c r="D11" s="371"/>
      <c r="F11" s="19"/>
      <c r="G11" s="67"/>
    </row>
    <row r="12" spans="2:7" ht="24.75" customHeight="1" x14ac:dyDescent="0.25">
      <c r="B12" s="78" t="s">
        <v>133</v>
      </c>
      <c r="C12" s="238">
        <v>7210</v>
      </c>
      <c r="D12" s="237"/>
      <c r="F12" s="19"/>
      <c r="G12" s="2"/>
    </row>
    <row r="13" spans="2:7" ht="24.75" customHeight="1" x14ac:dyDescent="0.25">
      <c r="B13" s="78" t="s">
        <v>868</v>
      </c>
      <c r="C13" s="238">
        <v>70500</v>
      </c>
      <c r="D13" s="237"/>
      <c r="F13" s="19"/>
      <c r="G13" s="2"/>
    </row>
    <row r="14" spans="2:7" ht="24.75" customHeight="1" x14ac:dyDescent="0.4">
      <c r="B14" s="298" t="s">
        <v>859</v>
      </c>
      <c r="C14" s="240">
        <v>0</v>
      </c>
      <c r="D14" s="237"/>
      <c r="F14" s="19"/>
      <c r="G14" s="67"/>
    </row>
    <row r="15" spans="2:7" ht="24.75" customHeight="1" x14ac:dyDescent="0.4">
      <c r="B15" s="300" t="s">
        <v>137</v>
      </c>
      <c r="C15" s="301">
        <f>SUM(C9:C14)</f>
        <v>6206586.5199999996</v>
      </c>
      <c r="D15" s="237"/>
      <c r="E15" s="2"/>
      <c r="G15" s="20"/>
    </row>
    <row r="16" spans="2:7" ht="24.75" customHeight="1" thickBot="1" x14ac:dyDescent="0.3">
      <c r="B16" s="86"/>
      <c r="C16" s="167"/>
      <c r="D16" s="237"/>
      <c r="E16" s="2"/>
    </row>
    <row r="17" spans="3:5" ht="24.75" customHeight="1" x14ac:dyDescent="0.25">
      <c r="C17" s="58"/>
      <c r="D17" s="237"/>
      <c r="E17" s="2"/>
    </row>
    <row r="18" spans="3:5" ht="24.75" customHeight="1" x14ac:dyDescent="0.25">
      <c r="C18" s="58"/>
      <c r="D18" s="237"/>
      <c r="E18" s="2"/>
    </row>
    <row r="19" spans="3:5" ht="24.75" customHeight="1" x14ac:dyDescent="0.25">
      <c r="C19" s="58"/>
      <c r="E19" s="2"/>
    </row>
    <row r="20" spans="3:5" ht="24.75" customHeight="1" x14ac:dyDescent="0.25">
      <c r="C20" s="58"/>
      <c r="E20" s="2"/>
    </row>
    <row r="21" spans="3:5" ht="24.75" customHeight="1" x14ac:dyDescent="0.25">
      <c r="C21" s="58"/>
      <c r="E21" s="2"/>
    </row>
    <row r="22" spans="3:5" ht="24.75" customHeight="1" x14ac:dyDescent="0.25">
      <c r="C22" s="58"/>
      <c r="E22" s="2"/>
    </row>
    <row r="23" spans="3:5" ht="24.75" customHeight="1" x14ac:dyDescent="0.25">
      <c r="C23" s="58"/>
      <c r="E23" s="2"/>
    </row>
    <row r="24" spans="3:5" ht="24.75" customHeight="1" x14ac:dyDescent="0.25">
      <c r="C24" s="58"/>
      <c r="E24" s="2"/>
    </row>
    <row r="25" spans="3:5" ht="24.75" customHeight="1" x14ac:dyDescent="0.25">
      <c r="C25" s="58"/>
      <c r="E25" s="2"/>
    </row>
    <row r="26" spans="3:5" ht="24.75" customHeight="1" x14ac:dyDescent="0.25">
      <c r="C26" s="58"/>
      <c r="E26" s="2"/>
    </row>
    <row r="27" spans="3:5" ht="24.75" customHeight="1" x14ac:dyDescent="0.25">
      <c r="C27" s="58"/>
      <c r="E27" s="2"/>
    </row>
    <row r="28" spans="3:5" ht="24.75" customHeight="1" x14ac:dyDescent="0.25">
      <c r="C28" s="58"/>
      <c r="E28" s="2"/>
    </row>
    <row r="29" spans="3:5" ht="24.75" customHeight="1" x14ac:dyDescent="0.25">
      <c r="C29" s="58"/>
      <c r="E29" s="2"/>
    </row>
    <row r="30" spans="3:5" ht="24.75" customHeight="1" x14ac:dyDescent="0.25">
      <c r="C30" s="58"/>
      <c r="E30" s="2"/>
    </row>
    <row r="31" spans="3:5" ht="11.25" customHeight="1" x14ac:dyDescent="0.25">
      <c r="C31" s="58"/>
      <c r="E31" s="2"/>
    </row>
    <row r="32" spans="3:5" ht="24.75" customHeight="1" x14ac:dyDescent="0.25">
      <c r="C32" s="2"/>
    </row>
    <row r="33" spans="2:8" ht="24.75" customHeight="1" x14ac:dyDescent="0.25">
      <c r="B33" s="539" t="str">
        <f>+B3</f>
        <v>NOTA 9</v>
      </c>
      <c r="C33" s="539"/>
    </row>
    <row r="34" spans="2:8" ht="24.75" customHeight="1" x14ac:dyDescent="0.25">
      <c r="B34" s="539" t="str">
        <f>+B4</f>
        <v>Cédula de detalle de cuentas</v>
      </c>
      <c r="C34" s="539"/>
    </row>
    <row r="35" spans="2:8" ht="24.75" customHeight="1" x14ac:dyDescent="0.25">
      <c r="B35" s="539" t="str">
        <f>+B5</f>
        <v xml:space="preserve">Cuentas por pagar </v>
      </c>
      <c r="C35" s="539"/>
      <c r="E35" s="372"/>
      <c r="F35" s="373"/>
      <c r="H35" s="2"/>
    </row>
    <row r="36" spans="2:8" ht="24.75" customHeight="1" x14ac:dyDescent="0.25">
      <c r="B36" s="551">
        <v>45626</v>
      </c>
      <c r="C36" s="551"/>
      <c r="E36" s="372"/>
      <c r="F36" s="373"/>
      <c r="H36" s="30"/>
    </row>
    <row r="37" spans="2:8" ht="24.75" customHeight="1" thickBot="1" x14ac:dyDescent="0.3">
      <c r="E37" s="372"/>
      <c r="F37" s="373"/>
      <c r="H37" s="30"/>
    </row>
    <row r="38" spans="2:8" ht="24.75" customHeight="1" thickBot="1" x14ac:dyDescent="0.3">
      <c r="B38" s="73" t="s">
        <v>266</v>
      </c>
      <c r="C38" s="75" t="s">
        <v>283</v>
      </c>
      <c r="E38" s="372"/>
      <c r="F38" s="373"/>
      <c r="H38" s="30"/>
    </row>
    <row r="39" spans="2:8" ht="24.75" hidden="1" customHeight="1" x14ac:dyDescent="0.25">
      <c r="B39" s="325" t="s">
        <v>591</v>
      </c>
      <c r="C39" s="374"/>
      <c r="E39" s="372"/>
      <c r="F39" s="373"/>
    </row>
    <row r="40" spans="2:8" ht="24.75" hidden="1" customHeight="1" x14ac:dyDescent="0.25">
      <c r="B40" s="297" t="s">
        <v>592</v>
      </c>
      <c r="C40" s="302"/>
      <c r="E40" s="372"/>
      <c r="F40" s="373"/>
    </row>
    <row r="41" spans="2:8" ht="24.75" customHeight="1" x14ac:dyDescent="0.25">
      <c r="B41" s="297" t="s">
        <v>827</v>
      </c>
      <c r="C41" s="302">
        <v>4053595</v>
      </c>
      <c r="E41" s="372"/>
      <c r="F41" s="373"/>
    </row>
    <row r="42" spans="2:8" ht="24.75" customHeight="1" x14ac:dyDescent="0.25">
      <c r="B42" s="297" t="s">
        <v>828</v>
      </c>
      <c r="C42" s="302">
        <v>83337.5</v>
      </c>
      <c r="E42" s="372"/>
      <c r="F42" s="373"/>
    </row>
    <row r="43" spans="2:8" ht="24.75" hidden="1" customHeight="1" x14ac:dyDescent="0.25">
      <c r="B43" s="297" t="s">
        <v>830</v>
      </c>
      <c r="C43" s="302"/>
      <c r="E43" s="372"/>
      <c r="F43" s="373"/>
    </row>
    <row r="44" spans="2:8" ht="24.75" customHeight="1" x14ac:dyDescent="0.25">
      <c r="B44" s="297" t="s">
        <v>829</v>
      </c>
      <c r="C44" s="302">
        <v>174050</v>
      </c>
      <c r="E44" s="372"/>
      <c r="F44" s="373"/>
    </row>
    <row r="45" spans="2:8" ht="24.75" customHeight="1" x14ac:dyDescent="0.25">
      <c r="B45" s="297" t="s">
        <v>858</v>
      </c>
      <c r="C45" s="302">
        <v>350000</v>
      </c>
      <c r="E45" s="372"/>
      <c r="F45" s="373"/>
    </row>
    <row r="46" spans="2:8" ht="24.75" customHeight="1" x14ac:dyDescent="0.25">
      <c r="B46" s="297" t="s">
        <v>860</v>
      </c>
      <c r="C46" s="302">
        <v>39417.31</v>
      </c>
      <c r="E46" s="372"/>
      <c r="F46" s="373"/>
    </row>
    <row r="47" spans="2:8" ht="24.75" customHeight="1" x14ac:dyDescent="0.25">
      <c r="B47" s="297" t="s">
        <v>857</v>
      </c>
      <c r="C47" s="302">
        <v>530390.21</v>
      </c>
      <c r="E47" s="372"/>
      <c r="F47" s="373"/>
    </row>
    <row r="48" spans="2:8" ht="23.25" customHeight="1" x14ac:dyDescent="0.25">
      <c r="B48" s="297" t="s">
        <v>593</v>
      </c>
      <c r="C48" s="399">
        <v>183018</v>
      </c>
    </row>
    <row r="49" spans="2:5" ht="24.75" customHeight="1" thickBot="1" x14ac:dyDescent="0.45">
      <c r="B49" s="96" t="s">
        <v>300</v>
      </c>
      <c r="C49" s="440">
        <f>SUM(C39:C48)</f>
        <v>5413808.0199999996</v>
      </c>
      <c r="E49" s="2"/>
    </row>
    <row r="50" spans="2:5" ht="15" customHeight="1" x14ac:dyDescent="0.25">
      <c r="C50" s="58"/>
      <c r="E50" s="2"/>
    </row>
    <row r="51" spans="2:5" ht="15" customHeight="1" x14ac:dyDescent="0.25">
      <c r="C51" s="58">
        <f>+C49-5413808.02</f>
        <v>0</v>
      </c>
      <c r="E51" s="2"/>
    </row>
    <row r="52" spans="2:5" ht="15" customHeight="1" x14ac:dyDescent="0.25">
      <c r="C52" s="58"/>
      <c r="E52" s="2"/>
    </row>
    <row r="53" spans="2:5" ht="15" customHeight="1" x14ac:dyDescent="0.25">
      <c r="C53" s="58"/>
      <c r="E53" s="2"/>
    </row>
    <row r="54" spans="2:5" ht="24.75" customHeight="1" x14ac:dyDescent="0.25">
      <c r="C54" s="58"/>
      <c r="E54" s="2"/>
    </row>
    <row r="55" spans="2:5" ht="24.75" customHeight="1" x14ac:dyDescent="0.25">
      <c r="B55" s="539" t="str">
        <f>+B33</f>
        <v>NOTA 9</v>
      </c>
      <c r="C55" s="539"/>
    </row>
    <row r="56" spans="2:5" ht="24.75" customHeight="1" x14ac:dyDescent="0.25">
      <c r="B56" s="539" t="str">
        <f>+B34</f>
        <v>Cédula de detalle de cuentas</v>
      </c>
      <c r="C56" s="539"/>
    </row>
    <row r="57" spans="2:5" ht="24.75" customHeight="1" x14ac:dyDescent="0.25">
      <c r="B57" s="539" t="s">
        <v>594</v>
      </c>
      <c r="C57" s="539"/>
    </row>
    <row r="58" spans="2:5" ht="24.75" customHeight="1" x14ac:dyDescent="0.25">
      <c r="B58" s="551">
        <v>45626</v>
      </c>
      <c r="C58" s="551"/>
    </row>
    <row r="59" spans="2:5" ht="24.75" customHeight="1" thickBot="1" x14ac:dyDescent="0.3">
      <c r="C59" s="2"/>
    </row>
    <row r="60" spans="2:5" ht="24.75" customHeight="1" thickBot="1" x14ac:dyDescent="0.3">
      <c r="B60" s="73" t="s">
        <v>266</v>
      </c>
      <c r="C60" s="75" t="s">
        <v>283</v>
      </c>
    </row>
    <row r="61" spans="2:5" ht="24.75" customHeight="1" x14ac:dyDescent="0.25">
      <c r="B61" s="298" t="s">
        <v>862</v>
      </c>
      <c r="C61" s="439">
        <v>532850</v>
      </c>
      <c r="D61" s="311"/>
      <c r="E61" s="312"/>
    </row>
    <row r="62" spans="2:5" ht="15.75" hidden="1" customHeight="1" x14ac:dyDescent="0.25">
      <c r="B62" s="298" t="s">
        <v>595</v>
      </c>
      <c r="C62" s="303"/>
      <c r="D62" s="311"/>
      <c r="E62" s="312"/>
    </row>
    <row r="63" spans="2:5" ht="24.75" customHeight="1" x14ac:dyDescent="0.4">
      <c r="B63" s="83" t="s">
        <v>551</v>
      </c>
      <c r="C63" s="85">
        <f>SUM(C61:C62)</f>
        <v>532850</v>
      </c>
    </row>
    <row r="64" spans="2:5" ht="16.5" thickBot="1" x14ac:dyDescent="0.3">
      <c r="B64" s="86"/>
      <c r="C64" s="167">
        <f>+C10-C63</f>
        <v>0</v>
      </c>
      <c r="D64" s="30"/>
    </row>
    <row r="65" spans="2:4" ht="25.5" customHeight="1" x14ac:dyDescent="0.25">
      <c r="D65" s="30"/>
    </row>
    <row r="66" spans="2:4" ht="25.5" customHeight="1" x14ac:dyDescent="0.25">
      <c r="D66" s="30"/>
    </row>
    <row r="67" spans="2:4" ht="25.5" customHeight="1" x14ac:dyDescent="0.25">
      <c r="D67" s="30"/>
    </row>
    <row r="68" spans="2:4" ht="25.5" customHeight="1" x14ac:dyDescent="0.25">
      <c r="C68" s="20"/>
      <c r="D68" s="30"/>
    </row>
    <row r="69" spans="2:4" ht="18" customHeight="1" x14ac:dyDescent="0.25">
      <c r="D69" s="58"/>
    </row>
    <row r="70" spans="2:4" ht="25.5" customHeight="1" x14ac:dyDescent="0.25">
      <c r="B70" s="539" t="str">
        <f>+B55</f>
        <v>NOTA 9</v>
      </c>
      <c r="C70" s="539"/>
      <c r="D70" s="2"/>
    </row>
    <row r="71" spans="2:4" ht="25.5" customHeight="1" x14ac:dyDescent="0.25">
      <c r="B71" s="539" t="str">
        <f>+B56</f>
        <v>Cédula de detalle de cuentas</v>
      </c>
      <c r="C71" s="539"/>
    </row>
    <row r="72" spans="2:4" ht="25.5" customHeight="1" x14ac:dyDescent="0.25">
      <c r="B72" s="539" t="s">
        <v>133</v>
      </c>
      <c r="C72" s="539"/>
    </row>
    <row r="73" spans="2:4" ht="25.5" customHeight="1" x14ac:dyDescent="0.25">
      <c r="B73" s="551">
        <v>45626</v>
      </c>
      <c r="C73" s="551"/>
    </row>
    <row r="74" spans="2:4" ht="25.5" customHeight="1" thickBot="1" x14ac:dyDescent="0.3"/>
    <row r="75" spans="2:4" ht="24.75" customHeight="1" x14ac:dyDescent="0.25">
      <c r="B75" s="164" t="s">
        <v>266</v>
      </c>
      <c r="C75" s="165" t="s">
        <v>283</v>
      </c>
    </row>
    <row r="76" spans="2:4" ht="23.25" customHeight="1" x14ac:dyDescent="0.25">
      <c r="B76" s="298" t="s">
        <v>863</v>
      </c>
      <c r="C76" s="303">
        <v>2150</v>
      </c>
    </row>
    <row r="77" spans="2:4" ht="23.25" customHeight="1" x14ac:dyDescent="0.25">
      <c r="B77" s="297" t="s">
        <v>704</v>
      </c>
      <c r="C77" s="302">
        <v>1420</v>
      </c>
    </row>
    <row r="78" spans="2:4" ht="23.25" customHeight="1" x14ac:dyDescent="0.25">
      <c r="B78" s="297" t="s">
        <v>864</v>
      </c>
      <c r="C78" s="302">
        <v>1420</v>
      </c>
    </row>
    <row r="79" spans="2:4" ht="23.25" customHeight="1" x14ac:dyDescent="0.25">
      <c r="B79" s="297" t="s">
        <v>865</v>
      </c>
      <c r="C79" s="302">
        <v>260</v>
      </c>
    </row>
    <row r="80" spans="2:4" ht="23.25" customHeight="1" x14ac:dyDescent="0.25">
      <c r="B80" s="297" t="s">
        <v>866</v>
      </c>
      <c r="C80" s="302">
        <v>1700</v>
      </c>
    </row>
    <row r="81" spans="2:3" ht="23.25" customHeight="1" x14ac:dyDescent="0.25">
      <c r="B81" s="297" t="s">
        <v>867</v>
      </c>
      <c r="C81" s="399">
        <v>260</v>
      </c>
    </row>
    <row r="82" spans="2:3" ht="24.75" customHeight="1" x14ac:dyDescent="0.4">
      <c r="B82" s="83" t="s">
        <v>551</v>
      </c>
      <c r="C82" s="85">
        <f>SUM(C76:C81)</f>
        <v>7210</v>
      </c>
    </row>
    <row r="83" spans="2:3" ht="24.75" customHeight="1" thickBot="1" x14ac:dyDescent="0.3">
      <c r="B83" s="86"/>
      <c r="C83" s="167"/>
    </row>
    <row r="84" spans="2:3" ht="24.75" customHeight="1" x14ac:dyDescent="0.25">
      <c r="C84" s="58"/>
    </row>
    <row r="85" spans="2:3" ht="8.25" customHeight="1" x14ac:dyDescent="0.25"/>
    <row r="86" spans="2:3" ht="24.75" customHeight="1" x14ac:dyDescent="0.25">
      <c r="C86" s="20"/>
    </row>
    <row r="87" spans="2:3" ht="16.5" customHeight="1" x14ac:dyDescent="0.25"/>
    <row r="88" spans="2:3" ht="24.75" hidden="1" customHeight="1" x14ac:dyDescent="0.25">
      <c r="B88" s="539" t="s">
        <v>589</v>
      </c>
      <c r="C88" s="539"/>
    </row>
    <row r="89" spans="2:3" ht="24.75" hidden="1" customHeight="1" x14ac:dyDescent="0.25">
      <c r="B89" s="539" t="s">
        <v>280</v>
      </c>
      <c r="C89" s="539"/>
    </row>
    <row r="90" spans="2:3" ht="24.75" hidden="1" customHeight="1" x14ac:dyDescent="0.25">
      <c r="B90" s="539" t="s">
        <v>133</v>
      </c>
      <c r="C90" s="539"/>
    </row>
    <row r="91" spans="2:3" ht="24.75" hidden="1" customHeight="1" x14ac:dyDescent="0.25">
      <c r="B91" s="551">
        <v>45626</v>
      </c>
      <c r="C91" s="551"/>
    </row>
    <row r="92" spans="2:3" ht="12" hidden="1" customHeight="1" thickBot="1" x14ac:dyDescent="0.3"/>
    <row r="93" spans="2:3" ht="24.75" hidden="1" customHeight="1" thickBot="1" x14ac:dyDescent="0.3">
      <c r="B93" s="164" t="s">
        <v>266</v>
      </c>
      <c r="C93" s="165" t="s">
        <v>283</v>
      </c>
    </row>
    <row r="94" spans="2:3" ht="24.75" hidden="1" customHeight="1" x14ac:dyDescent="0.25">
      <c r="B94" s="325" t="s">
        <v>596</v>
      </c>
      <c r="C94" s="374"/>
    </row>
    <row r="95" spans="2:3" ht="24.75" hidden="1" customHeight="1" x14ac:dyDescent="0.25">
      <c r="B95" s="298" t="s">
        <v>597</v>
      </c>
      <c r="C95" s="439"/>
    </row>
    <row r="96" spans="2:3" ht="24.75" hidden="1" customHeight="1" x14ac:dyDescent="0.4">
      <c r="B96" s="83" t="s">
        <v>551</v>
      </c>
      <c r="C96" s="85">
        <f>SUM(C94:C95)</f>
        <v>0</v>
      </c>
    </row>
    <row r="98" spans="2:3" ht="24.75" customHeight="1" x14ac:dyDescent="0.25">
      <c r="C98" s="20"/>
    </row>
    <row r="100" spans="2:3" ht="24.75" customHeight="1" x14ac:dyDescent="0.25">
      <c r="B100" s="539" t="s">
        <v>589</v>
      </c>
      <c r="C100" s="539"/>
    </row>
    <row r="101" spans="2:3" ht="23.25" customHeight="1" x14ac:dyDescent="0.25">
      <c r="B101" s="539" t="s">
        <v>280</v>
      </c>
      <c r="C101" s="539"/>
    </row>
    <row r="102" spans="2:3" ht="24.75" customHeight="1" x14ac:dyDescent="0.25">
      <c r="B102" s="539" t="s">
        <v>870</v>
      </c>
      <c r="C102" s="539"/>
    </row>
    <row r="103" spans="2:3" ht="24.75" customHeight="1" x14ac:dyDescent="0.25">
      <c r="B103" s="551">
        <v>45626</v>
      </c>
      <c r="C103" s="551"/>
    </row>
    <row r="104" spans="2:3" ht="24.75" customHeight="1" thickBot="1" x14ac:dyDescent="0.3"/>
    <row r="105" spans="2:3" ht="24.75" customHeight="1" thickBot="1" x14ac:dyDescent="0.3">
      <c r="B105" s="164" t="s">
        <v>266</v>
      </c>
      <c r="C105" s="165" t="s">
        <v>283</v>
      </c>
    </row>
    <row r="106" spans="2:3" ht="23.25" customHeight="1" x14ac:dyDescent="0.25">
      <c r="B106" s="325" t="s">
        <v>869</v>
      </c>
      <c r="C106" s="374">
        <f>+C13</f>
        <v>70500</v>
      </c>
    </row>
    <row r="107" spans="2:3" ht="24.75" customHeight="1" x14ac:dyDescent="0.4">
      <c r="B107" s="83" t="s">
        <v>551</v>
      </c>
      <c r="C107" s="85">
        <f>SUM(C106:C106)</f>
        <v>70500</v>
      </c>
    </row>
    <row r="108" spans="2:3" ht="24.75" customHeight="1" thickBot="1" x14ac:dyDescent="0.3">
      <c r="B108" s="86"/>
      <c r="C108" s="167"/>
    </row>
    <row r="111" spans="2:3" ht="24.75" customHeight="1" x14ac:dyDescent="0.25">
      <c r="C111" s="58"/>
    </row>
  </sheetData>
  <mergeCells count="24">
    <mergeCell ref="B100:C100"/>
    <mergeCell ref="B101:C101"/>
    <mergeCell ref="B102:C102"/>
    <mergeCell ref="B103:C103"/>
    <mergeCell ref="B89:C89"/>
    <mergeCell ref="B90:C90"/>
    <mergeCell ref="B91:C91"/>
    <mergeCell ref="B88:C88"/>
    <mergeCell ref="B57:C57"/>
    <mergeCell ref="B58:C58"/>
    <mergeCell ref="B70:C70"/>
    <mergeCell ref="B71:C71"/>
    <mergeCell ref="B73:C73"/>
    <mergeCell ref="B72:C72"/>
    <mergeCell ref="B3:C3"/>
    <mergeCell ref="B4:C4"/>
    <mergeCell ref="B5:C5"/>
    <mergeCell ref="B6:C6"/>
    <mergeCell ref="B55:C55"/>
    <mergeCell ref="B56:C56"/>
    <mergeCell ref="B33:C33"/>
    <mergeCell ref="B34:C34"/>
    <mergeCell ref="B35:C35"/>
    <mergeCell ref="B36:C36"/>
  </mergeCells>
  <pageMargins left="0.9055118110236221" right="0.31496062992125984" top="0.74803149606299213" bottom="0.74803149606299213" header="0.31496062992125984" footer="0.31496062992125984"/>
  <pageSetup scale="85" orientation="portrait" r:id="rId1"/>
  <rowBreaks count="1" manualBreakCount="1">
    <brk id="30" max="2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44"/>
  <sheetViews>
    <sheetView view="pageBreakPreview" zoomScale="90" zoomScaleNormal="100" zoomScaleSheetLayoutView="90" workbookViewId="0">
      <selection activeCell="C14" sqref="C14"/>
    </sheetView>
  </sheetViews>
  <sheetFormatPr baseColWidth="10" defaultColWidth="9.140625" defaultRowHeight="24.75" customHeight="1" x14ac:dyDescent="0.25"/>
  <cols>
    <col min="1" max="1" width="4.85546875" style="1" customWidth="1"/>
    <col min="2" max="2" width="64.7109375" style="1" customWidth="1"/>
    <col min="3" max="4" width="25.28515625" style="1" customWidth="1"/>
    <col min="5" max="5" width="17.42578125" style="1" bestFit="1" customWidth="1"/>
    <col min="6" max="6" width="16.85546875" style="1" customWidth="1"/>
    <col min="7" max="7" width="12.42578125" style="1" customWidth="1"/>
    <col min="8" max="16384" width="9.140625" style="1"/>
  </cols>
  <sheetData>
    <row r="1" spans="2:6" ht="24.75" customHeight="1" x14ac:dyDescent="0.25">
      <c r="C1" s="2"/>
      <c r="D1" s="90"/>
    </row>
    <row r="2" spans="2:6" ht="24.75" customHeight="1" x14ac:dyDescent="0.25">
      <c r="B2" s="16"/>
      <c r="C2" s="16"/>
      <c r="D2" s="16"/>
    </row>
    <row r="3" spans="2:6" ht="24.75" customHeight="1" x14ac:dyDescent="0.25">
      <c r="B3" s="539" t="s">
        <v>598</v>
      </c>
      <c r="C3" s="539"/>
      <c r="D3" s="50"/>
    </row>
    <row r="4" spans="2:6" ht="24.75" customHeight="1" x14ac:dyDescent="0.25">
      <c r="B4" s="539" t="s">
        <v>280</v>
      </c>
      <c r="C4" s="539"/>
      <c r="D4" s="50"/>
    </row>
    <row r="5" spans="2:6" ht="24.75" customHeight="1" x14ac:dyDescent="0.25">
      <c r="B5" s="539" t="s">
        <v>599</v>
      </c>
      <c r="C5" s="539"/>
      <c r="D5" s="50"/>
    </row>
    <row r="6" spans="2:6" ht="24.75" customHeight="1" x14ac:dyDescent="0.25">
      <c r="B6" s="551">
        <v>45626</v>
      </c>
      <c r="C6" s="551"/>
      <c r="D6" s="70"/>
      <c r="E6" s="19"/>
      <c r="F6" s="67"/>
    </row>
    <row r="7" spans="2:6" ht="24.75" customHeight="1" thickBot="1" x14ac:dyDescent="0.3">
      <c r="B7" s="71"/>
      <c r="C7" s="296"/>
      <c r="D7" s="361"/>
      <c r="E7" s="19"/>
      <c r="F7" s="2"/>
    </row>
    <row r="8" spans="2:6" ht="21.75" customHeight="1" thickBot="1" x14ac:dyDescent="0.3">
      <c r="B8" s="73" t="s">
        <v>266</v>
      </c>
      <c r="C8" s="75" t="s">
        <v>283</v>
      </c>
      <c r="D8" s="50"/>
      <c r="E8" s="19"/>
      <c r="F8" s="2"/>
    </row>
    <row r="9" spans="2:6" ht="30" hidden="1" customHeight="1" x14ac:dyDescent="0.25">
      <c r="B9" s="297" t="s">
        <v>600</v>
      </c>
      <c r="C9" s="362">
        <v>0</v>
      </c>
      <c r="D9" s="359"/>
    </row>
    <row r="10" spans="2:6" ht="30" customHeight="1" x14ac:dyDescent="0.4">
      <c r="B10" s="299" t="s">
        <v>872</v>
      </c>
      <c r="C10" s="240">
        <v>3941.73</v>
      </c>
      <c r="D10" s="360"/>
      <c r="F10" s="20"/>
    </row>
    <row r="11" spans="2:6" ht="30" customHeight="1" x14ac:dyDescent="0.4">
      <c r="B11" s="300" t="s">
        <v>601</v>
      </c>
      <c r="C11" s="301">
        <f>SUM(C9:C10)</f>
        <v>3941.73</v>
      </c>
      <c r="D11" s="90"/>
    </row>
    <row r="12" spans="2:6" ht="24.75" customHeight="1" thickBot="1" x14ac:dyDescent="0.3">
      <c r="B12" s="86"/>
      <c r="C12" s="167"/>
      <c r="D12" s="90"/>
    </row>
    <row r="13" spans="2:6" ht="24.75" customHeight="1" x14ac:dyDescent="0.25">
      <c r="C13" s="58"/>
      <c r="D13" s="90"/>
    </row>
    <row r="14" spans="2:6" ht="24.75" customHeight="1" x14ac:dyDescent="0.25">
      <c r="D14" s="90"/>
    </row>
    <row r="15" spans="2:6" ht="24.75" customHeight="1" x14ac:dyDescent="0.25">
      <c r="D15" s="90"/>
    </row>
    <row r="16" spans="2:6" ht="24.75" customHeight="1" x14ac:dyDescent="0.25">
      <c r="D16" s="90"/>
    </row>
    <row r="17" spans="3:4" ht="24.75" customHeight="1" x14ac:dyDescent="0.25">
      <c r="C17" s="58"/>
      <c r="D17" s="90"/>
    </row>
    <row r="18" spans="3:4" ht="24.75" customHeight="1" x14ac:dyDescent="0.25">
      <c r="C18" s="58"/>
      <c r="D18" s="90"/>
    </row>
    <row r="19" spans="3:4" ht="24.75" customHeight="1" x14ac:dyDescent="0.25">
      <c r="C19" s="58"/>
      <c r="D19" s="90"/>
    </row>
    <row r="20" spans="3:4" ht="24.75" customHeight="1" x14ac:dyDescent="0.25">
      <c r="C20" s="58"/>
      <c r="D20" s="90"/>
    </row>
    <row r="21" spans="3:4" ht="24.75" customHeight="1" x14ac:dyDescent="0.25">
      <c r="C21" s="58"/>
      <c r="D21" s="90"/>
    </row>
    <row r="22" spans="3:4" ht="24.75" customHeight="1" x14ac:dyDescent="0.25">
      <c r="C22" s="58"/>
      <c r="D22" s="90"/>
    </row>
    <row r="23" spans="3:4" ht="24.75" customHeight="1" x14ac:dyDescent="0.25">
      <c r="C23" s="58"/>
      <c r="D23" s="90"/>
    </row>
    <row r="24" spans="3:4" ht="24.75" customHeight="1" x14ac:dyDescent="0.25">
      <c r="C24" s="58"/>
      <c r="D24" s="90"/>
    </row>
    <row r="25" spans="3:4" ht="24.75" customHeight="1" x14ac:dyDescent="0.25">
      <c r="C25" s="58"/>
      <c r="D25" s="90"/>
    </row>
    <row r="26" spans="3:4" ht="24.75" customHeight="1" x14ac:dyDescent="0.25">
      <c r="C26" s="58"/>
      <c r="D26" s="90"/>
    </row>
    <row r="27" spans="3:4" ht="24.75" customHeight="1" x14ac:dyDescent="0.25">
      <c r="C27" s="58"/>
      <c r="D27" s="90"/>
    </row>
    <row r="28" spans="3:4" ht="24.75" customHeight="1" x14ac:dyDescent="0.25">
      <c r="C28" s="58"/>
      <c r="D28" s="90"/>
    </row>
    <row r="29" spans="3:4" ht="24.75" customHeight="1" x14ac:dyDescent="0.25">
      <c r="C29" s="58"/>
      <c r="D29" s="90"/>
    </row>
    <row r="33" spans="2:3" ht="24.75" customHeight="1" x14ac:dyDescent="0.25">
      <c r="B33" s="539" t="str">
        <f>+B3</f>
        <v>NOTA 10</v>
      </c>
      <c r="C33" s="539"/>
    </row>
    <row r="34" spans="2:3" ht="24.75" customHeight="1" x14ac:dyDescent="0.25">
      <c r="B34" s="539" t="str">
        <f>+B4</f>
        <v>Cédula de detalle de cuentas</v>
      </c>
      <c r="C34" s="539"/>
    </row>
    <row r="35" spans="2:3" ht="24.75" customHeight="1" x14ac:dyDescent="0.25">
      <c r="B35" s="539" t="s">
        <v>139</v>
      </c>
      <c r="C35" s="539"/>
    </row>
    <row r="36" spans="2:3" ht="24.75" customHeight="1" x14ac:dyDescent="0.25">
      <c r="B36" s="551">
        <v>45626</v>
      </c>
      <c r="C36" s="551"/>
    </row>
    <row r="37" spans="2:3" ht="24.75" customHeight="1" thickBot="1" x14ac:dyDescent="0.3"/>
    <row r="38" spans="2:3" ht="24.75" customHeight="1" thickBot="1" x14ac:dyDescent="0.3">
      <c r="B38" s="73" t="s">
        <v>266</v>
      </c>
      <c r="C38" s="75" t="s">
        <v>283</v>
      </c>
    </row>
    <row r="39" spans="2:3" ht="30" customHeight="1" x14ac:dyDescent="0.4">
      <c r="B39" s="297" t="s">
        <v>602</v>
      </c>
      <c r="C39" s="385"/>
    </row>
    <row r="40" spans="2:3" ht="30" hidden="1" customHeight="1" x14ac:dyDescent="0.25">
      <c r="B40" s="297" t="s">
        <v>603</v>
      </c>
      <c r="C40" s="77"/>
    </row>
    <row r="41" spans="2:3" ht="30" hidden="1" customHeight="1" x14ac:dyDescent="0.25">
      <c r="B41" s="297" t="s">
        <v>604</v>
      </c>
      <c r="C41" s="77"/>
    </row>
    <row r="42" spans="2:3" ht="30" hidden="1" customHeight="1" x14ac:dyDescent="0.4">
      <c r="B42" s="297" t="s">
        <v>605</v>
      </c>
      <c r="C42" s="385"/>
    </row>
    <row r="43" spans="2:3" ht="29.25" customHeight="1" x14ac:dyDescent="0.4">
      <c r="B43" s="363" t="s">
        <v>551</v>
      </c>
      <c r="C43" s="301">
        <f>SUM(C39:C42)</f>
        <v>0</v>
      </c>
    </row>
    <row r="44" spans="2:3" ht="24.75" customHeight="1" thickBot="1" x14ac:dyDescent="0.3">
      <c r="B44" s="86"/>
      <c r="C44" s="167"/>
    </row>
  </sheetData>
  <mergeCells count="8">
    <mergeCell ref="B33:C33"/>
    <mergeCell ref="B34:C34"/>
    <mergeCell ref="B35:C35"/>
    <mergeCell ref="B36:C36"/>
    <mergeCell ref="B3:C3"/>
    <mergeCell ref="B4:C4"/>
    <mergeCell ref="B5:C5"/>
    <mergeCell ref="B6:C6"/>
  </mergeCells>
  <pageMargins left="0.53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0"/>
  <sheetViews>
    <sheetView view="pageBreakPreview" topLeftCell="A34" zoomScale="90" zoomScaleNormal="100" zoomScaleSheetLayoutView="90" workbookViewId="0">
      <selection activeCell="C14" sqref="C14"/>
    </sheetView>
  </sheetViews>
  <sheetFormatPr baseColWidth="10" defaultColWidth="9.140625" defaultRowHeight="24.75" customHeight="1" x14ac:dyDescent="0.25"/>
  <cols>
    <col min="1" max="1" width="57.5703125" style="1" customWidth="1"/>
    <col min="2" max="2" width="21.28515625" style="1" customWidth="1"/>
    <col min="3" max="3" width="23.7109375" style="1" bestFit="1" customWidth="1"/>
    <col min="4" max="4" width="20.42578125" style="1" customWidth="1"/>
    <col min="5" max="5" width="20" style="1" customWidth="1"/>
    <col min="6" max="6" width="14.28515625" style="1" bestFit="1" customWidth="1"/>
    <col min="7" max="16384" width="9.140625" style="1"/>
  </cols>
  <sheetData>
    <row r="1" spans="1:5" ht="24.75" customHeight="1" x14ac:dyDescent="0.25">
      <c r="B1" s="2"/>
    </row>
    <row r="2" spans="1:5" ht="24.75" customHeight="1" x14ac:dyDescent="0.25">
      <c r="B2" s="371"/>
    </row>
    <row r="3" spans="1:5" ht="24.75" customHeight="1" x14ac:dyDescent="0.25">
      <c r="A3" s="539" t="s">
        <v>606</v>
      </c>
      <c r="B3" s="539"/>
    </row>
    <row r="4" spans="1:5" ht="24.75" customHeight="1" x14ac:dyDescent="0.25">
      <c r="A4" s="539" t="s">
        <v>280</v>
      </c>
      <c r="B4" s="539"/>
    </row>
    <row r="5" spans="1:5" ht="24.75" customHeight="1" x14ac:dyDescent="0.25">
      <c r="A5" s="539" t="s">
        <v>25</v>
      </c>
      <c r="B5" s="539"/>
    </row>
    <row r="6" spans="1:5" ht="24.75" customHeight="1" x14ac:dyDescent="0.25">
      <c r="A6" s="551">
        <v>45626</v>
      </c>
      <c r="B6" s="551"/>
    </row>
    <row r="7" spans="1:5" ht="24.75" customHeight="1" thickBot="1" x14ac:dyDescent="0.3">
      <c r="A7" s="71"/>
      <c r="B7" s="241"/>
    </row>
    <row r="8" spans="1:5" ht="24.75" customHeight="1" thickBot="1" x14ac:dyDescent="0.3">
      <c r="A8" s="73" t="s">
        <v>266</v>
      </c>
      <c r="B8" s="75" t="s">
        <v>283</v>
      </c>
    </row>
    <row r="9" spans="1:5" ht="24.75" customHeight="1" x14ac:dyDescent="0.25">
      <c r="A9" s="239" t="s">
        <v>607</v>
      </c>
      <c r="B9" s="242">
        <v>586551.4</v>
      </c>
      <c r="C9" s="2"/>
    </row>
    <row r="10" spans="1:5" ht="24.75" customHeight="1" x14ac:dyDescent="0.25">
      <c r="A10" s="78" t="s">
        <v>608</v>
      </c>
      <c r="B10" s="242">
        <v>23151260.989999998</v>
      </c>
      <c r="C10" s="2"/>
      <c r="E10" s="2"/>
    </row>
    <row r="11" spans="1:5" ht="15.75" hidden="1" customHeight="1" x14ac:dyDescent="0.25">
      <c r="A11" s="78" t="s">
        <v>609</v>
      </c>
      <c r="B11" s="242">
        <v>0</v>
      </c>
      <c r="C11" s="2"/>
      <c r="E11" s="2"/>
    </row>
    <row r="12" spans="1:5" ht="24.75" customHeight="1" x14ac:dyDescent="0.25">
      <c r="A12" s="78" t="s">
        <v>610</v>
      </c>
      <c r="B12" s="243">
        <v>7371806.8300000001</v>
      </c>
      <c r="C12" s="2"/>
      <c r="E12" s="2"/>
    </row>
    <row r="13" spans="1:5" ht="24.75" customHeight="1" x14ac:dyDescent="0.4">
      <c r="A13" s="78" t="s">
        <v>611</v>
      </c>
      <c r="B13" s="244">
        <v>8806696.6600000001</v>
      </c>
      <c r="C13" s="2"/>
      <c r="E13" s="2"/>
    </row>
    <row r="14" spans="1:5" ht="24.75" customHeight="1" x14ac:dyDescent="0.4">
      <c r="A14" s="304" t="s">
        <v>300</v>
      </c>
      <c r="B14" s="85">
        <f>SUM(B9:B13)</f>
        <v>39916315.879999995</v>
      </c>
      <c r="C14" s="2"/>
      <c r="E14" s="2"/>
    </row>
    <row r="15" spans="1:5" ht="24.75" customHeight="1" thickBot="1" x14ac:dyDescent="0.3">
      <c r="A15" s="245"/>
      <c r="B15" s="88"/>
      <c r="C15" s="2"/>
    </row>
    <row r="16" spans="1:5" ht="24.75" customHeight="1" x14ac:dyDescent="0.25">
      <c r="B16" s="2"/>
      <c r="C16" s="2"/>
    </row>
    <row r="17" spans="1:3" ht="24.75" customHeight="1" x14ac:dyDescent="0.25">
      <c r="B17" s="2">
        <f>+B14-'A-SITUACION ANEXOS'!D146</f>
        <v>0</v>
      </c>
      <c r="C17" s="2"/>
    </row>
    <row r="18" spans="1:3" ht="24.75" customHeight="1" x14ac:dyDescent="0.25">
      <c r="B18" s="2"/>
    </row>
    <row r="19" spans="1:3" ht="24.75" customHeight="1" x14ac:dyDescent="0.25">
      <c r="B19" s="2"/>
    </row>
    <row r="20" spans="1:3" ht="24.75" customHeight="1" x14ac:dyDescent="0.25">
      <c r="B20" s="2"/>
    </row>
    <row r="21" spans="1:3" ht="24.75" customHeight="1" x14ac:dyDescent="0.25">
      <c r="B21" s="2"/>
    </row>
    <row r="22" spans="1:3" ht="24.75" customHeight="1" x14ac:dyDescent="0.25">
      <c r="B22" s="2"/>
    </row>
    <row r="23" spans="1:3" ht="24.75" customHeight="1" x14ac:dyDescent="0.25">
      <c r="B23" s="2"/>
    </row>
    <row r="24" spans="1:3" ht="24.75" customHeight="1" x14ac:dyDescent="0.25">
      <c r="B24" s="2"/>
    </row>
    <row r="25" spans="1:3" ht="24.75" customHeight="1" x14ac:dyDescent="0.25">
      <c r="B25" s="2"/>
    </row>
    <row r="26" spans="1:3" ht="24.75" customHeight="1" x14ac:dyDescent="0.25">
      <c r="B26" s="2"/>
    </row>
    <row r="27" spans="1:3" ht="24.75" customHeight="1" x14ac:dyDescent="0.25">
      <c r="A27" s="16"/>
      <c r="B27" s="16"/>
    </row>
    <row r="28" spans="1:3" ht="24.75" customHeight="1" x14ac:dyDescent="0.25">
      <c r="A28" s="16"/>
      <c r="B28" s="16"/>
    </row>
    <row r="29" spans="1:3" ht="24.75" customHeight="1" x14ac:dyDescent="0.25">
      <c r="A29" s="16"/>
      <c r="B29" s="16"/>
    </row>
    <row r="30" spans="1:3" ht="24.75" customHeight="1" x14ac:dyDescent="0.25">
      <c r="A30" s="16"/>
      <c r="B30" s="16"/>
    </row>
    <row r="31" spans="1:3" ht="24.75" customHeight="1" x14ac:dyDescent="0.25">
      <c r="A31" s="16"/>
      <c r="B31" s="16"/>
    </row>
    <row r="32" spans="1:3" ht="24.75" customHeight="1" x14ac:dyDescent="0.25">
      <c r="A32" s="16"/>
      <c r="B32" s="16"/>
    </row>
    <row r="33" spans="1:6" ht="24.75" customHeight="1" x14ac:dyDescent="0.25">
      <c r="A33" s="16"/>
      <c r="B33" s="16"/>
    </row>
    <row r="34" spans="1:6" ht="24.75" customHeight="1" x14ac:dyDescent="0.25">
      <c r="A34" s="539" t="str">
        <f>+A3</f>
        <v>NOTA 11</v>
      </c>
      <c r="B34" s="539"/>
    </row>
    <row r="35" spans="1:6" ht="24.75" customHeight="1" x14ac:dyDescent="0.25">
      <c r="A35" s="539" t="str">
        <f>+A4</f>
        <v>Cédula de detalle de cuentas</v>
      </c>
      <c r="B35" s="539"/>
      <c r="C35" s="247"/>
    </row>
    <row r="36" spans="1:6" ht="24.75" customHeight="1" x14ac:dyDescent="0.25">
      <c r="A36" s="539" t="s">
        <v>612</v>
      </c>
      <c r="B36" s="539"/>
      <c r="F36" s="2"/>
    </row>
    <row r="37" spans="1:6" ht="24.75" customHeight="1" x14ac:dyDescent="0.25">
      <c r="A37" s="551">
        <v>45626</v>
      </c>
      <c r="B37" s="551"/>
    </row>
    <row r="38" spans="1:6" ht="24.75" customHeight="1" thickBot="1" x14ac:dyDescent="0.3">
      <c r="A38" s="71"/>
      <c r="B38" s="50"/>
    </row>
    <row r="39" spans="1:6" ht="24.75" customHeight="1" thickBot="1" x14ac:dyDescent="0.3">
      <c r="A39" s="73" t="s">
        <v>266</v>
      </c>
      <c r="B39" s="75" t="s">
        <v>283</v>
      </c>
    </row>
    <row r="40" spans="1:6" ht="24.75" customHeight="1" x14ac:dyDescent="0.25">
      <c r="A40" s="76" t="s">
        <v>873</v>
      </c>
      <c r="B40" s="519">
        <v>102886.39999999999</v>
      </c>
    </row>
    <row r="41" spans="1:6" ht="40.5" hidden="1" customHeight="1" x14ac:dyDescent="0.25">
      <c r="A41" s="308" t="s">
        <v>613</v>
      </c>
      <c r="B41" s="519"/>
    </row>
    <row r="42" spans="1:6" ht="40.5" hidden="1" customHeight="1" x14ac:dyDescent="0.25">
      <c r="A42" s="308" t="s">
        <v>822</v>
      </c>
      <c r="B42" s="519"/>
    </row>
    <row r="43" spans="1:6" ht="33.75" customHeight="1" x14ac:dyDescent="0.25">
      <c r="A43" s="308" t="s">
        <v>874</v>
      </c>
      <c r="B43" s="519">
        <v>51740</v>
      </c>
    </row>
    <row r="44" spans="1:6" ht="33.75" hidden="1" customHeight="1" x14ac:dyDescent="0.25">
      <c r="A44" s="308" t="s">
        <v>614</v>
      </c>
      <c r="B44" s="519">
        <v>0</v>
      </c>
    </row>
    <row r="45" spans="1:6" ht="36.75" customHeight="1" x14ac:dyDescent="0.4">
      <c r="A45" s="308" t="s">
        <v>875</v>
      </c>
      <c r="B45" s="520">
        <f>432185-260</f>
        <v>431925</v>
      </c>
    </row>
    <row r="46" spans="1:6" ht="24.75" customHeight="1" x14ac:dyDescent="0.4">
      <c r="A46" s="78"/>
      <c r="B46" s="301">
        <f>SUM(B40:B45)</f>
        <v>586551.4</v>
      </c>
    </row>
    <row r="47" spans="1:6" ht="24.75" customHeight="1" thickBot="1" x14ac:dyDescent="0.3">
      <c r="A47" s="86"/>
      <c r="B47" s="248">
        <f>+B46-B9</f>
        <v>0</v>
      </c>
    </row>
    <row r="48" spans="1:6" ht="24.75" customHeight="1" x14ac:dyDescent="0.25">
      <c r="B48" s="2"/>
    </row>
    <row r="49" spans="2:2" ht="24.75" customHeight="1" x14ac:dyDescent="0.25">
      <c r="B49" s="2"/>
    </row>
    <row r="50" spans="2:2" ht="24.75" customHeight="1" x14ac:dyDescent="0.25">
      <c r="B50" s="2"/>
    </row>
    <row r="51" spans="2:2" ht="24.75" customHeight="1" x14ac:dyDescent="0.25">
      <c r="B51" s="2"/>
    </row>
    <row r="52" spans="2:2" ht="24.75" customHeight="1" x14ac:dyDescent="0.25">
      <c r="B52" s="2"/>
    </row>
    <row r="53" spans="2:2" ht="24.75" customHeight="1" x14ac:dyDescent="0.25">
      <c r="B53" s="2"/>
    </row>
    <row r="54" spans="2:2" ht="24.75" customHeight="1" x14ac:dyDescent="0.25">
      <c r="B54" s="2"/>
    </row>
    <row r="55" spans="2:2" ht="24.75" customHeight="1" x14ac:dyDescent="0.25">
      <c r="B55" s="2"/>
    </row>
    <row r="56" spans="2:2" ht="24.75" customHeight="1" x14ac:dyDescent="0.25">
      <c r="B56" s="2"/>
    </row>
    <row r="57" spans="2:2" ht="24.75" customHeight="1" x14ac:dyDescent="0.25">
      <c r="B57" s="2"/>
    </row>
    <row r="58" spans="2:2" ht="24.75" customHeight="1" x14ac:dyDescent="0.25">
      <c r="B58" s="2"/>
    </row>
    <row r="59" spans="2:2" ht="24.75" customHeight="1" x14ac:dyDescent="0.25">
      <c r="B59" s="2"/>
    </row>
    <row r="60" spans="2:2" ht="24.75" customHeight="1" x14ac:dyDescent="0.25">
      <c r="B60" s="2"/>
    </row>
  </sheetData>
  <mergeCells count="8">
    <mergeCell ref="A36:B36"/>
    <mergeCell ref="A37:B37"/>
    <mergeCell ref="A35:B35"/>
    <mergeCell ref="A3:B3"/>
    <mergeCell ref="A4:B4"/>
    <mergeCell ref="A5:B5"/>
    <mergeCell ref="A6:B6"/>
    <mergeCell ref="A34:B34"/>
  </mergeCells>
  <phoneticPr fontId="35" type="noConversion"/>
  <printOptions horizontalCentered="1"/>
  <pageMargins left="0.70866141732283472" right="0.31496062992125984" top="0.74803149606299213" bottom="0.74803149606299213" header="0.31496062992125984" footer="0.31496062992125984"/>
  <pageSetup scale="94" orientation="portrait" r:id="rId1"/>
  <rowBreaks count="1" manualBreakCount="1">
    <brk id="60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O48"/>
  <sheetViews>
    <sheetView topLeftCell="A26" workbookViewId="0">
      <selection activeCell="C14" sqref="C14"/>
    </sheetView>
  </sheetViews>
  <sheetFormatPr baseColWidth="10" defaultColWidth="11.42578125" defaultRowHeight="15.75" x14ac:dyDescent="0.25"/>
  <cols>
    <col min="1" max="1" width="10.85546875" style="1" customWidth="1"/>
    <col min="2" max="2" width="41" style="1" bestFit="1" customWidth="1"/>
    <col min="3" max="3" width="58.28515625" style="1" bestFit="1" customWidth="1"/>
    <col min="4" max="4" width="26.28515625" style="1" bestFit="1" customWidth="1"/>
    <col min="5" max="5" width="17.28515625" style="1" bestFit="1" customWidth="1"/>
    <col min="6" max="9" width="11.42578125" style="1"/>
    <col min="10" max="10" width="16" style="1" bestFit="1" customWidth="1"/>
    <col min="11" max="11" width="15.85546875" style="1" bestFit="1" customWidth="1"/>
    <col min="12" max="12" width="16" style="1" bestFit="1" customWidth="1"/>
    <col min="13" max="13" width="15.7109375" style="1" bestFit="1" customWidth="1"/>
    <col min="14" max="14" width="15.85546875" style="1" bestFit="1" customWidth="1"/>
    <col min="15" max="16384" width="11.42578125" style="1"/>
  </cols>
  <sheetData>
    <row r="5" spans="1:4" s="49" customFormat="1" ht="18.75" x14ac:dyDescent="0.3">
      <c r="A5" s="265" t="s">
        <v>615</v>
      </c>
    </row>
    <row r="6" spans="1:4" s="49" customFormat="1" ht="18.75" x14ac:dyDescent="0.3">
      <c r="A6" s="49" t="s">
        <v>616</v>
      </c>
    </row>
    <row r="7" spans="1:4" ht="16.5" thickBot="1" x14ac:dyDescent="0.3"/>
    <row r="8" spans="1:4" ht="22.5" customHeight="1" thickBot="1" x14ac:dyDescent="0.3">
      <c r="A8" s="257" t="s">
        <v>617</v>
      </c>
      <c r="B8" s="281" t="s">
        <v>618</v>
      </c>
      <c r="C8" s="281" t="s">
        <v>619</v>
      </c>
      <c r="D8" s="282" t="s">
        <v>620</v>
      </c>
    </row>
    <row r="9" spans="1:4" ht="31.5" x14ac:dyDescent="0.25">
      <c r="A9" s="277">
        <v>1</v>
      </c>
      <c r="B9" s="278" t="s">
        <v>621</v>
      </c>
      <c r="C9" s="279">
        <v>9689880</v>
      </c>
      <c r="D9" s="280">
        <f>+C9*1</f>
        <v>9689880</v>
      </c>
    </row>
    <row r="10" spans="1:4" x14ac:dyDescent="0.25">
      <c r="A10" s="148">
        <v>2</v>
      </c>
      <c r="B10" s="148" t="s">
        <v>622</v>
      </c>
      <c r="C10" s="271">
        <v>540860</v>
      </c>
      <c r="D10" s="270">
        <f>+C10*2.5</f>
        <v>1352150</v>
      </c>
    </row>
    <row r="11" spans="1:4" x14ac:dyDescent="0.25">
      <c r="A11" s="269">
        <v>3</v>
      </c>
      <c r="B11" s="148" t="s">
        <v>623</v>
      </c>
      <c r="C11" s="271">
        <v>35000</v>
      </c>
      <c r="D11" s="270">
        <f>+C11</f>
        <v>35000</v>
      </c>
    </row>
    <row r="12" spans="1:4" x14ac:dyDescent="0.25">
      <c r="A12" s="148">
        <v>4</v>
      </c>
      <c r="B12" s="148" t="s">
        <v>624</v>
      </c>
      <c r="C12" s="271">
        <v>740000</v>
      </c>
      <c r="D12" s="270">
        <f>+C12</f>
        <v>740000</v>
      </c>
    </row>
    <row r="13" spans="1:4" x14ac:dyDescent="0.25">
      <c r="A13" s="269">
        <v>5</v>
      </c>
      <c r="B13" s="148" t="s">
        <v>625</v>
      </c>
      <c r="C13" s="271">
        <v>610000</v>
      </c>
      <c r="D13" s="270">
        <f>+C13</f>
        <v>610000</v>
      </c>
    </row>
    <row r="14" spans="1:4" x14ac:dyDescent="0.25">
      <c r="A14" s="148">
        <v>6</v>
      </c>
      <c r="B14" s="148" t="s">
        <v>626</v>
      </c>
      <c r="C14" s="271">
        <v>1247700</v>
      </c>
      <c r="D14" s="270">
        <f>+C14</f>
        <v>1247700</v>
      </c>
    </row>
    <row r="15" spans="1:4" x14ac:dyDescent="0.25">
      <c r="A15" s="269">
        <v>7</v>
      </c>
      <c r="B15" s="148" t="s">
        <v>627</v>
      </c>
      <c r="C15" s="271">
        <v>8279020</v>
      </c>
      <c r="D15" s="270">
        <f>+C15*1</f>
        <v>8279020</v>
      </c>
    </row>
    <row r="16" spans="1:4" x14ac:dyDescent="0.25">
      <c r="A16" s="148">
        <v>8</v>
      </c>
      <c r="B16" s="272" t="s">
        <v>628</v>
      </c>
      <c r="C16" s="271">
        <v>8279020</v>
      </c>
      <c r="D16" s="270">
        <f>+C16*2.5</f>
        <v>20697550</v>
      </c>
    </row>
    <row r="17" spans="1:15" x14ac:dyDescent="0.25">
      <c r="A17" s="269">
        <v>9</v>
      </c>
      <c r="B17" s="148" t="s">
        <v>629</v>
      </c>
      <c r="C17" s="271">
        <v>870000</v>
      </c>
      <c r="D17" s="270">
        <f>+C17*2</f>
        <v>1740000</v>
      </c>
    </row>
    <row r="18" spans="1:15" x14ac:dyDescent="0.25">
      <c r="A18" s="148"/>
      <c r="B18" s="252" t="s">
        <v>630</v>
      </c>
      <c r="C18" s="252"/>
      <c r="D18" s="273">
        <f>SUM(D9:D17)</f>
        <v>44391300</v>
      </c>
    </row>
    <row r="19" spans="1:15" x14ac:dyDescent="0.25">
      <c r="A19" s="148"/>
      <c r="B19" s="123"/>
      <c r="C19" s="123"/>
      <c r="D19" s="123"/>
    </row>
    <row r="20" spans="1:15" x14ac:dyDescent="0.25">
      <c r="A20" s="148"/>
      <c r="B20" s="123"/>
      <c r="C20" s="149" t="s">
        <v>631</v>
      </c>
      <c r="D20" s="268" t="s">
        <v>632</v>
      </c>
    </row>
    <row r="21" spans="1:15" ht="18" x14ac:dyDescent="0.4">
      <c r="A21" s="148"/>
      <c r="B21" s="274" t="s">
        <v>633</v>
      </c>
      <c r="C21" s="275"/>
      <c r="D21" s="276">
        <f>+D18/12</f>
        <v>3699275</v>
      </c>
    </row>
    <row r="22" spans="1:15" x14ac:dyDescent="0.25">
      <c r="A22" s="148"/>
      <c r="B22" s="123"/>
      <c r="C22" s="123"/>
      <c r="D22" s="123"/>
    </row>
    <row r="23" spans="1:15" x14ac:dyDescent="0.25">
      <c r="A23" s="68"/>
      <c r="J23" s="2"/>
      <c r="K23" s="2"/>
      <c r="L23" s="2"/>
      <c r="M23" s="2"/>
      <c r="N23" s="2"/>
      <c r="O23" s="2"/>
    </row>
    <row r="24" spans="1:15" x14ac:dyDescent="0.25">
      <c r="A24" s="68"/>
      <c r="J24" s="2"/>
      <c r="K24" s="2"/>
      <c r="L24" s="2"/>
      <c r="M24" s="2"/>
      <c r="N24" s="2"/>
      <c r="O24" s="2"/>
    </row>
    <row r="25" spans="1:15" x14ac:dyDescent="0.25">
      <c r="B25" s="266"/>
      <c r="J25" s="2"/>
      <c r="K25" s="2"/>
      <c r="L25" s="2"/>
      <c r="M25" s="2"/>
      <c r="N25" s="2"/>
      <c r="O25" s="2"/>
    </row>
    <row r="26" spans="1:15" x14ac:dyDescent="0.25">
      <c r="B26" s="264" t="s">
        <v>634</v>
      </c>
      <c r="C26" s="264" t="s">
        <v>300</v>
      </c>
      <c r="J26" s="2"/>
      <c r="K26" s="2"/>
      <c r="L26" s="2"/>
      <c r="M26" s="2"/>
      <c r="N26" s="2"/>
      <c r="O26" s="2"/>
    </row>
    <row r="27" spans="1:15" x14ac:dyDescent="0.25">
      <c r="B27" s="1" t="s">
        <v>635</v>
      </c>
      <c r="C27" s="286">
        <f>+D21</f>
        <v>3699275</v>
      </c>
      <c r="J27" s="2"/>
      <c r="K27" s="2"/>
      <c r="L27" s="2"/>
      <c r="M27" s="2"/>
      <c r="N27" s="2"/>
      <c r="O27" s="2"/>
    </row>
    <row r="28" spans="1:15" x14ac:dyDescent="0.25">
      <c r="B28" s="1" t="s">
        <v>636</v>
      </c>
      <c r="C28" s="286">
        <v>3699275</v>
      </c>
      <c r="J28" s="2"/>
      <c r="K28" s="2"/>
      <c r="L28" s="2"/>
      <c r="M28" s="2"/>
      <c r="N28" s="2"/>
      <c r="O28" s="2"/>
    </row>
    <row r="29" spans="1:15" x14ac:dyDescent="0.25">
      <c r="B29" s="1" t="s">
        <v>637</v>
      </c>
      <c r="C29" s="286">
        <f t="shared" ref="C29:C36" si="0">+C27</f>
        <v>3699275</v>
      </c>
      <c r="J29" s="2"/>
      <c r="K29" s="2"/>
      <c r="L29" s="2"/>
      <c r="M29" s="2"/>
      <c r="N29" s="2"/>
      <c r="O29" s="2"/>
    </row>
    <row r="30" spans="1:15" x14ac:dyDescent="0.25">
      <c r="B30" s="1" t="s">
        <v>638</v>
      </c>
      <c r="C30" s="286">
        <f t="shared" si="0"/>
        <v>3699275</v>
      </c>
      <c r="E30" s="2"/>
      <c r="J30" s="2"/>
      <c r="K30" s="2"/>
      <c r="L30" s="2"/>
      <c r="M30" s="2"/>
      <c r="N30" s="2"/>
      <c r="O30" s="2"/>
    </row>
    <row r="31" spans="1:15" x14ac:dyDescent="0.25">
      <c r="B31" s="1" t="s">
        <v>639</v>
      </c>
      <c r="C31" s="286">
        <f t="shared" si="0"/>
        <v>3699275</v>
      </c>
      <c r="E31" s="2"/>
      <c r="J31" s="2"/>
      <c r="K31" s="2"/>
      <c r="L31" s="2"/>
      <c r="M31" s="2"/>
      <c r="N31" s="2"/>
      <c r="O31" s="2"/>
    </row>
    <row r="32" spans="1:15" x14ac:dyDescent="0.25">
      <c r="B32" s="1" t="s">
        <v>640</v>
      </c>
      <c r="C32" s="286">
        <f t="shared" si="0"/>
        <v>3699275</v>
      </c>
      <c r="J32" s="2"/>
      <c r="K32" s="2"/>
      <c r="L32" s="2"/>
      <c r="M32" s="2"/>
      <c r="N32" s="2"/>
      <c r="O32" s="2"/>
    </row>
    <row r="33" spans="1:15" x14ac:dyDescent="0.25">
      <c r="B33" s="1" t="s">
        <v>641</v>
      </c>
      <c r="C33" s="286">
        <f t="shared" si="0"/>
        <v>3699275</v>
      </c>
      <c r="J33" s="2"/>
      <c r="K33" s="2"/>
      <c r="L33" s="2"/>
      <c r="M33" s="2"/>
      <c r="N33" s="2"/>
      <c r="O33" s="2"/>
    </row>
    <row r="34" spans="1:15" x14ac:dyDescent="0.25">
      <c r="B34" s="1" t="s">
        <v>642</v>
      </c>
      <c r="C34" s="286">
        <f t="shared" si="0"/>
        <v>3699275</v>
      </c>
      <c r="J34" s="2"/>
      <c r="K34" s="2"/>
      <c r="L34" s="2"/>
      <c r="M34" s="2"/>
      <c r="N34" s="2"/>
      <c r="O34" s="2"/>
    </row>
    <row r="35" spans="1:15" x14ac:dyDescent="0.25">
      <c r="B35" s="1" t="s">
        <v>643</v>
      </c>
      <c r="C35" s="286">
        <f t="shared" si="0"/>
        <v>3699275</v>
      </c>
      <c r="J35" s="2"/>
      <c r="K35" s="2"/>
      <c r="L35" s="2"/>
      <c r="M35" s="2"/>
      <c r="N35" s="2"/>
      <c r="O35" s="2"/>
    </row>
    <row r="36" spans="1:15" x14ac:dyDescent="0.25">
      <c r="B36" s="1" t="s">
        <v>644</v>
      </c>
      <c r="C36" s="286">
        <f t="shared" si="0"/>
        <v>3699275</v>
      </c>
      <c r="J36" s="2"/>
      <c r="K36" s="2"/>
      <c r="L36" s="2"/>
      <c r="M36" s="2"/>
      <c r="N36" s="2"/>
      <c r="O36" s="2"/>
    </row>
    <row r="37" spans="1:15" x14ac:dyDescent="0.25">
      <c r="B37" s="3" t="s">
        <v>645</v>
      </c>
      <c r="C37" s="285">
        <v>3699275</v>
      </c>
      <c r="J37" s="2"/>
      <c r="K37" s="2"/>
      <c r="L37" s="2"/>
      <c r="M37" s="2"/>
      <c r="N37" s="2"/>
      <c r="O37" s="2"/>
    </row>
    <row r="38" spans="1:15" hidden="1" x14ac:dyDescent="0.25">
      <c r="B38" s="3" t="s">
        <v>646</v>
      </c>
      <c r="C38" s="285">
        <f t="shared" ref="C38" si="1">+D32</f>
        <v>0</v>
      </c>
      <c r="J38" s="2"/>
      <c r="K38" s="2"/>
      <c r="L38" s="2"/>
      <c r="M38" s="2"/>
      <c r="N38" s="2"/>
      <c r="O38" s="2"/>
    </row>
    <row r="39" spans="1:15" hidden="1" x14ac:dyDescent="0.25">
      <c r="B39" s="3"/>
      <c r="C39" s="285"/>
      <c r="J39" s="2"/>
      <c r="K39" s="2"/>
      <c r="L39" s="2"/>
      <c r="M39" s="2"/>
      <c r="N39" s="2"/>
      <c r="O39" s="2"/>
    </row>
    <row r="40" spans="1:15" ht="16.5" thickBot="1" x14ac:dyDescent="0.3">
      <c r="B40" s="16" t="s">
        <v>647</v>
      </c>
      <c r="C40" s="267">
        <f>SUM(C27:C39)</f>
        <v>40692025</v>
      </c>
      <c r="J40" s="2"/>
      <c r="K40" s="2"/>
      <c r="L40" s="2"/>
      <c r="M40" s="2"/>
      <c r="N40" s="2"/>
      <c r="O40" s="2"/>
    </row>
    <row r="41" spans="1:15" ht="16.5" thickTop="1" x14ac:dyDescent="0.25">
      <c r="A41" s="68"/>
      <c r="J41" s="2"/>
      <c r="K41" s="2"/>
      <c r="L41" s="2"/>
      <c r="M41" s="2"/>
      <c r="N41" s="2"/>
      <c r="O41" s="2"/>
    </row>
    <row r="42" spans="1:15" x14ac:dyDescent="0.25">
      <c r="A42" s="68"/>
      <c r="C42" s="20"/>
      <c r="J42" s="2"/>
      <c r="K42" s="2"/>
      <c r="L42" s="2"/>
      <c r="M42" s="2"/>
      <c r="N42" s="2"/>
      <c r="O42" s="2"/>
    </row>
    <row r="48" spans="1:15" x14ac:dyDescent="0.25">
      <c r="E48" s="20"/>
    </row>
  </sheetData>
  <phoneticPr fontId="35" type="noConversion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4:AN104"/>
  <sheetViews>
    <sheetView view="pageBreakPreview" zoomScale="70" zoomScaleNormal="100" zoomScaleSheetLayoutView="70" workbookViewId="0">
      <pane xSplit="1" ySplit="7" topLeftCell="I73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baseColWidth="10" defaultColWidth="10.85546875" defaultRowHeight="15" x14ac:dyDescent="0.25"/>
  <cols>
    <col min="1" max="1" width="8.5703125" style="404" bestFit="1" customWidth="1"/>
    <col min="2" max="2" width="42.140625" style="408" bestFit="1" customWidth="1"/>
    <col min="3" max="3" width="16.7109375" style="416" bestFit="1" customWidth="1"/>
    <col min="4" max="4" width="34.28515625" bestFit="1" customWidth="1"/>
    <col min="5" max="5" width="13" bestFit="1" customWidth="1"/>
    <col min="6" max="6" width="19" bestFit="1" customWidth="1"/>
    <col min="7" max="7" width="9.28515625" customWidth="1"/>
    <col min="8" max="8" width="13.28515625" bestFit="1" customWidth="1"/>
    <col min="9" max="9" width="8.28515625" bestFit="1" customWidth="1"/>
    <col min="10" max="10" width="10.5703125" bestFit="1" customWidth="1"/>
    <col min="11" max="11" width="8.5703125" bestFit="1" customWidth="1"/>
    <col min="12" max="12" width="6.85546875" bestFit="1" customWidth="1"/>
    <col min="13" max="13" width="7.7109375" bestFit="1" customWidth="1"/>
    <col min="14" max="14" width="7.85546875" bestFit="1" customWidth="1"/>
    <col min="15" max="15" width="7.140625" bestFit="1" customWidth="1"/>
    <col min="16" max="16" width="9.7109375" bestFit="1" customWidth="1"/>
    <col min="17" max="17" width="7.140625" bestFit="1" customWidth="1"/>
    <col min="18" max="18" width="11" bestFit="1" customWidth="1"/>
    <col min="19" max="19" width="6" bestFit="1" customWidth="1"/>
    <col min="20" max="20" width="19" customWidth="1"/>
    <col min="21" max="21" width="19.5703125" customWidth="1"/>
  </cols>
  <sheetData>
    <row r="4" spans="1:21" ht="15" customHeight="1" x14ac:dyDescent="0.2">
      <c r="B4" s="405" t="s">
        <v>648</v>
      </c>
      <c r="C4" s="406"/>
    </row>
    <row r="5" spans="1:21" ht="18.75" customHeight="1" x14ac:dyDescent="0.2">
      <c r="B5" s="407" t="s">
        <v>649</v>
      </c>
      <c r="C5" s="406"/>
    </row>
    <row r="6" spans="1:21" ht="15" customHeight="1" thickBot="1" x14ac:dyDescent="0.3">
      <c r="C6" s="406"/>
    </row>
    <row r="7" spans="1:21" ht="30" x14ac:dyDescent="0.2">
      <c r="A7" s="409" t="s">
        <v>378</v>
      </c>
      <c r="B7" s="410" t="s">
        <v>650</v>
      </c>
      <c r="C7" s="411" t="s">
        <v>651</v>
      </c>
      <c r="D7" s="411" t="s">
        <v>381</v>
      </c>
      <c r="E7" s="411" t="s">
        <v>652</v>
      </c>
      <c r="F7" s="412" t="s">
        <v>653</v>
      </c>
      <c r="G7" s="413" t="s">
        <v>654</v>
      </c>
      <c r="H7" s="414" t="s">
        <v>655</v>
      </c>
      <c r="I7" s="414" t="s">
        <v>656</v>
      </c>
      <c r="J7" s="414" t="s">
        <v>636</v>
      </c>
      <c r="K7" s="414" t="s">
        <v>637</v>
      </c>
      <c r="L7" s="414" t="s">
        <v>638</v>
      </c>
      <c r="M7" s="414" t="s">
        <v>639</v>
      </c>
      <c r="N7" s="414" t="s">
        <v>640</v>
      </c>
      <c r="O7" s="414" t="s">
        <v>641</v>
      </c>
      <c r="P7" s="414" t="s">
        <v>642</v>
      </c>
      <c r="Q7" s="414" t="s">
        <v>852</v>
      </c>
      <c r="R7" s="414" t="s">
        <v>644</v>
      </c>
      <c r="S7" s="414" t="s">
        <v>853</v>
      </c>
      <c r="T7" s="414" t="s">
        <v>657</v>
      </c>
      <c r="U7" s="411" t="s">
        <v>658</v>
      </c>
    </row>
    <row r="8" spans="1:21" s="415" customFormat="1" ht="17.25" x14ac:dyDescent="0.3">
      <c r="A8" s="386">
        <v>1</v>
      </c>
      <c r="B8" s="387" t="s">
        <v>659</v>
      </c>
      <c r="C8" s="388">
        <v>0</v>
      </c>
      <c r="D8" s="389" t="s">
        <v>660</v>
      </c>
      <c r="E8" s="390">
        <v>132000</v>
      </c>
      <c r="F8" s="391">
        <f>E8/21.67</f>
        <v>6091.3705583756337</v>
      </c>
      <c r="G8" s="392">
        <v>30</v>
      </c>
      <c r="H8" s="389">
        <f>C8+G8</f>
        <v>30</v>
      </c>
      <c r="I8" s="389"/>
      <c r="J8" s="389"/>
      <c r="K8" s="389"/>
      <c r="L8" s="389"/>
      <c r="M8" s="389"/>
      <c r="N8" s="389">
        <v>5</v>
      </c>
      <c r="O8" s="389"/>
      <c r="P8" s="389"/>
      <c r="Q8" s="389"/>
      <c r="R8" s="389">
        <v>15</v>
      </c>
      <c r="S8" s="389"/>
      <c r="T8" s="523">
        <f>H8-I8-J8-K8-L8-M8-N8-O8-P8-Q8-R8-S8</f>
        <v>10</v>
      </c>
      <c r="U8" s="524">
        <f t="shared" ref="U8:U71" si="0">F8*T8</f>
        <v>60913.705583756338</v>
      </c>
    </row>
    <row r="9" spans="1:21" s="415" customFormat="1" ht="17.25" x14ac:dyDescent="0.3">
      <c r="A9" s="386">
        <v>2</v>
      </c>
      <c r="B9" s="393" t="s">
        <v>661</v>
      </c>
      <c r="C9" s="388">
        <v>25</v>
      </c>
      <c r="D9" s="389" t="s">
        <v>662</v>
      </c>
      <c r="E9" s="390">
        <v>88000</v>
      </c>
      <c r="F9" s="391">
        <f t="shared" ref="F9:F72" si="1">E9/21.67</f>
        <v>4060.9137055837559</v>
      </c>
      <c r="G9" s="392">
        <v>30</v>
      </c>
      <c r="H9" s="389">
        <f t="shared" ref="H9:H72" si="2">C9+G9</f>
        <v>55</v>
      </c>
      <c r="I9" s="389"/>
      <c r="J9" s="389"/>
      <c r="K9" s="389">
        <v>15</v>
      </c>
      <c r="L9" s="389"/>
      <c r="M9" s="389">
        <v>17</v>
      </c>
      <c r="N9" s="389"/>
      <c r="O9" s="389"/>
      <c r="P9" s="389"/>
      <c r="Q9" s="389"/>
      <c r="R9" s="389"/>
      <c r="S9" s="389"/>
      <c r="T9" s="523">
        <f t="shared" ref="T9:T72" si="3">H9-I9-J9-K9-L9-M9-N9-O9-P9-Q9-R9-S9</f>
        <v>23</v>
      </c>
      <c r="U9" s="524">
        <f t="shared" si="0"/>
        <v>93401.01522842639</v>
      </c>
    </row>
    <row r="10" spans="1:21" s="415" customFormat="1" ht="17.25" x14ac:dyDescent="0.3">
      <c r="A10" s="386">
        <v>3</v>
      </c>
      <c r="B10" s="393" t="s">
        <v>663</v>
      </c>
      <c r="C10" s="388">
        <v>5</v>
      </c>
      <c r="D10" s="389" t="s">
        <v>664</v>
      </c>
      <c r="E10" s="390">
        <v>120000</v>
      </c>
      <c r="F10" s="391">
        <f t="shared" si="1"/>
        <v>5537.6095985233032</v>
      </c>
      <c r="G10" s="392">
        <v>25</v>
      </c>
      <c r="H10" s="389">
        <f t="shared" si="2"/>
        <v>30</v>
      </c>
      <c r="I10" s="389"/>
      <c r="J10" s="389"/>
      <c r="K10" s="389">
        <v>5</v>
      </c>
      <c r="L10" s="389"/>
      <c r="M10" s="389"/>
      <c r="N10" s="389">
        <v>10</v>
      </c>
      <c r="O10" s="389"/>
      <c r="P10" s="389"/>
      <c r="Q10" s="389"/>
      <c r="R10" s="389">
        <v>10</v>
      </c>
      <c r="S10" s="389"/>
      <c r="T10" s="523">
        <f t="shared" si="3"/>
        <v>5</v>
      </c>
      <c r="U10" s="524">
        <f t="shared" si="0"/>
        <v>27688.047992616517</v>
      </c>
    </row>
    <row r="11" spans="1:21" s="415" customFormat="1" ht="17.25" x14ac:dyDescent="0.3">
      <c r="A11" s="386">
        <v>4</v>
      </c>
      <c r="B11" s="394" t="s">
        <v>665</v>
      </c>
      <c r="C11" s="388">
        <v>4</v>
      </c>
      <c r="D11" s="389" t="s">
        <v>666</v>
      </c>
      <c r="E11" s="390">
        <v>66000</v>
      </c>
      <c r="F11" s="391">
        <f t="shared" si="1"/>
        <v>3045.6852791878168</v>
      </c>
      <c r="G11" s="392">
        <v>20</v>
      </c>
      <c r="H11" s="389">
        <f t="shared" si="2"/>
        <v>24</v>
      </c>
      <c r="I11" s="389">
        <v>1</v>
      </c>
      <c r="J11" s="389"/>
      <c r="K11" s="389">
        <v>3</v>
      </c>
      <c r="L11" s="389"/>
      <c r="M11" s="389"/>
      <c r="N11" s="389">
        <v>5</v>
      </c>
      <c r="O11" s="389"/>
      <c r="P11" s="389"/>
      <c r="Q11" s="389"/>
      <c r="R11" s="389">
        <v>2</v>
      </c>
      <c r="S11" s="389">
        <v>9</v>
      </c>
      <c r="T11" s="523">
        <f t="shared" si="3"/>
        <v>4</v>
      </c>
      <c r="U11" s="524">
        <f t="shared" si="0"/>
        <v>12182.741116751267</v>
      </c>
    </row>
    <row r="12" spans="1:21" s="415" customFormat="1" ht="17.25" x14ac:dyDescent="0.3">
      <c r="A12" s="386">
        <v>5</v>
      </c>
      <c r="B12" s="394" t="s">
        <v>667</v>
      </c>
      <c r="C12" s="388">
        <v>15</v>
      </c>
      <c r="D12" s="389" t="s">
        <v>668</v>
      </c>
      <c r="E12" s="390">
        <v>110000</v>
      </c>
      <c r="F12" s="391">
        <f>E12/21.67</f>
        <v>5076.1421319796955</v>
      </c>
      <c r="G12" s="392">
        <v>15</v>
      </c>
      <c r="H12" s="389">
        <f>C12+G12</f>
        <v>30</v>
      </c>
      <c r="I12" s="389"/>
      <c r="J12" s="389"/>
      <c r="K12" s="389"/>
      <c r="L12" s="389">
        <v>10</v>
      </c>
      <c r="M12" s="389"/>
      <c r="N12" s="389"/>
      <c r="O12" s="389"/>
      <c r="P12" s="389"/>
      <c r="Q12" s="389"/>
      <c r="R12" s="389"/>
      <c r="S12" s="389">
        <v>5</v>
      </c>
      <c r="T12" s="523">
        <f t="shared" si="3"/>
        <v>15</v>
      </c>
      <c r="U12" s="524">
        <f t="shared" si="0"/>
        <v>76142.131979695434</v>
      </c>
    </row>
    <row r="13" spans="1:21" s="415" customFormat="1" ht="17.25" x14ac:dyDescent="0.3">
      <c r="A13" s="386">
        <v>6</v>
      </c>
      <c r="B13" s="393" t="s">
        <v>669</v>
      </c>
      <c r="C13" s="388">
        <v>23</v>
      </c>
      <c r="D13" s="389" t="s">
        <v>389</v>
      </c>
      <c r="E13" s="390">
        <v>132000</v>
      </c>
      <c r="F13" s="391">
        <f t="shared" si="1"/>
        <v>6091.3705583756337</v>
      </c>
      <c r="G13" s="392">
        <v>30</v>
      </c>
      <c r="H13" s="389">
        <f t="shared" si="2"/>
        <v>53</v>
      </c>
      <c r="I13" s="389"/>
      <c r="J13" s="389"/>
      <c r="K13" s="389">
        <v>8</v>
      </c>
      <c r="L13" s="389"/>
      <c r="M13" s="389"/>
      <c r="N13" s="389"/>
      <c r="O13" s="389">
        <v>8</v>
      </c>
      <c r="P13" s="389"/>
      <c r="Q13" s="389"/>
      <c r="R13" s="389">
        <v>9</v>
      </c>
      <c r="S13" s="389"/>
      <c r="T13" s="523">
        <f t="shared" si="3"/>
        <v>28</v>
      </c>
      <c r="U13" s="524">
        <f t="shared" si="0"/>
        <v>170558.37563451775</v>
      </c>
    </row>
    <row r="14" spans="1:21" s="415" customFormat="1" ht="17.25" x14ac:dyDescent="0.3">
      <c r="A14" s="386">
        <v>7</v>
      </c>
      <c r="B14" s="393" t="s">
        <v>670</v>
      </c>
      <c r="C14" s="388">
        <v>0</v>
      </c>
      <c r="D14" s="389" t="s">
        <v>671</v>
      </c>
      <c r="E14" s="390">
        <v>24000</v>
      </c>
      <c r="F14" s="391">
        <f t="shared" si="1"/>
        <v>1107.5219197046608</v>
      </c>
      <c r="G14" s="392">
        <v>30</v>
      </c>
      <c r="H14" s="389">
        <f t="shared" si="2"/>
        <v>30</v>
      </c>
      <c r="I14" s="389"/>
      <c r="J14" s="389"/>
      <c r="K14" s="389"/>
      <c r="L14" s="389">
        <v>15</v>
      </c>
      <c r="M14" s="389">
        <v>1</v>
      </c>
      <c r="N14" s="389"/>
      <c r="O14" s="389"/>
      <c r="P14" s="389"/>
      <c r="Q14" s="389"/>
      <c r="R14" s="389"/>
      <c r="S14" s="389"/>
      <c r="T14" s="523">
        <f t="shared" si="3"/>
        <v>14</v>
      </c>
      <c r="U14" s="524">
        <f t="shared" si="0"/>
        <v>15505.306875865252</v>
      </c>
    </row>
    <row r="15" spans="1:21" s="415" customFormat="1" ht="17.25" x14ac:dyDescent="0.3">
      <c r="A15" s="386">
        <v>8</v>
      </c>
      <c r="B15" s="393" t="s">
        <v>672</v>
      </c>
      <c r="C15" s="388">
        <v>15</v>
      </c>
      <c r="D15" s="389" t="s">
        <v>673</v>
      </c>
      <c r="E15" s="390">
        <v>88000</v>
      </c>
      <c r="F15" s="391">
        <f t="shared" si="1"/>
        <v>4060.9137055837559</v>
      </c>
      <c r="G15" s="392">
        <v>20</v>
      </c>
      <c r="H15" s="389">
        <f t="shared" si="2"/>
        <v>35</v>
      </c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523">
        <f t="shared" si="3"/>
        <v>35</v>
      </c>
      <c r="U15" s="524">
        <f t="shared" si="0"/>
        <v>142131.97969543145</v>
      </c>
    </row>
    <row r="16" spans="1:21" s="415" customFormat="1" ht="17.25" x14ac:dyDescent="0.3">
      <c r="A16" s="386">
        <v>9</v>
      </c>
      <c r="B16" s="393" t="s">
        <v>674</v>
      </c>
      <c r="C16" s="388">
        <v>0</v>
      </c>
      <c r="D16" s="389" t="s">
        <v>666</v>
      </c>
      <c r="E16" s="390">
        <v>66000</v>
      </c>
      <c r="F16" s="391">
        <f t="shared" si="1"/>
        <v>3045.6852791878168</v>
      </c>
      <c r="G16" s="392">
        <v>20</v>
      </c>
      <c r="H16" s="389">
        <f t="shared" si="2"/>
        <v>20</v>
      </c>
      <c r="I16" s="389"/>
      <c r="J16" s="389"/>
      <c r="K16" s="389"/>
      <c r="L16" s="389"/>
      <c r="M16" s="389"/>
      <c r="N16" s="389">
        <v>10</v>
      </c>
      <c r="O16" s="389"/>
      <c r="P16" s="389"/>
      <c r="Q16" s="389"/>
      <c r="R16" s="389"/>
      <c r="S16" s="389"/>
      <c r="T16" s="523">
        <f t="shared" si="3"/>
        <v>10</v>
      </c>
      <c r="U16" s="524">
        <f t="shared" si="0"/>
        <v>30456.852791878169</v>
      </c>
    </row>
    <row r="17" spans="1:21" s="415" customFormat="1" ht="17.25" x14ac:dyDescent="0.3">
      <c r="A17" s="386">
        <v>10</v>
      </c>
      <c r="B17" s="394" t="s">
        <v>675</v>
      </c>
      <c r="C17" s="388">
        <v>20</v>
      </c>
      <c r="D17" s="389" t="s">
        <v>389</v>
      </c>
      <c r="E17" s="390">
        <v>132000</v>
      </c>
      <c r="F17" s="391">
        <f t="shared" si="1"/>
        <v>6091.3705583756337</v>
      </c>
      <c r="G17" s="392">
        <v>20</v>
      </c>
      <c r="H17" s="389">
        <f t="shared" si="2"/>
        <v>40</v>
      </c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523">
        <f t="shared" si="3"/>
        <v>40</v>
      </c>
      <c r="U17" s="524">
        <f t="shared" si="0"/>
        <v>243654.82233502535</v>
      </c>
    </row>
    <row r="18" spans="1:21" s="415" customFormat="1" ht="17.25" x14ac:dyDescent="0.3">
      <c r="A18" s="386">
        <v>11</v>
      </c>
      <c r="B18" s="393" t="s">
        <v>676</v>
      </c>
      <c r="C18" s="388">
        <v>2</v>
      </c>
      <c r="D18" s="389" t="s">
        <v>677</v>
      </c>
      <c r="E18" s="390">
        <v>27500</v>
      </c>
      <c r="F18" s="391">
        <f t="shared" si="1"/>
        <v>1269.0355329949239</v>
      </c>
      <c r="G18" s="392">
        <v>15</v>
      </c>
      <c r="H18" s="389">
        <f t="shared" si="2"/>
        <v>17</v>
      </c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523">
        <f t="shared" si="3"/>
        <v>17</v>
      </c>
      <c r="U18" s="524">
        <f t="shared" si="0"/>
        <v>21573.604060913705</v>
      </c>
    </row>
    <row r="19" spans="1:21" s="415" customFormat="1" ht="17.25" x14ac:dyDescent="0.3">
      <c r="A19" s="386">
        <v>12</v>
      </c>
      <c r="B19" s="393" t="s">
        <v>678</v>
      </c>
      <c r="C19" s="388">
        <v>5</v>
      </c>
      <c r="D19" s="389" t="s">
        <v>671</v>
      </c>
      <c r="E19" s="390">
        <v>22000</v>
      </c>
      <c r="F19" s="391">
        <f t="shared" si="1"/>
        <v>1015.228426395939</v>
      </c>
      <c r="G19" s="392">
        <v>15</v>
      </c>
      <c r="H19" s="389">
        <f t="shared" si="2"/>
        <v>20</v>
      </c>
      <c r="I19" s="389"/>
      <c r="J19" s="389"/>
      <c r="K19" s="389"/>
      <c r="L19" s="389">
        <v>20</v>
      </c>
      <c r="M19" s="389"/>
      <c r="N19" s="389"/>
      <c r="O19" s="389"/>
      <c r="P19" s="389"/>
      <c r="Q19" s="389"/>
      <c r="R19" s="389"/>
      <c r="S19" s="389"/>
      <c r="T19" s="523">
        <f t="shared" si="3"/>
        <v>0</v>
      </c>
      <c r="U19" s="524">
        <f t="shared" si="0"/>
        <v>0</v>
      </c>
    </row>
    <row r="20" spans="1:21" s="415" customFormat="1" ht="17.25" x14ac:dyDescent="0.3">
      <c r="A20" s="386">
        <v>13</v>
      </c>
      <c r="B20" s="387" t="s">
        <v>679</v>
      </c>
      <c r="C20" s="388">
        <v>7</v>
      </c>
      <c r="D20" s="389" t="s">
        <v>666</v>
      </c>
      <c r="E20" s="390">
        <v>66000</v>
      </c>
      <c r="F20" s="391">
        <f t="shared" si="1"/>
        <v>3045.6852791878168</v>
      </c>
      <c r="G20" s="392">
        <v>15</v>
      </c>
      <c r="H20" s="389">
        <f t="shared" si="2"/>
        <v>22</v>
      </c>
      <c r="I20" s="389"/>
      <c r="J20" s="389"/>
      <c r="K20" s="389"/>
      <c r="L20" s="389"/>
      <c r="M20" s="389"/>
      <c r="N20" s="389"/>
      <c r="O20" s="389">
        <v>13</v>
      </c>
      <c r="P20" s="389"/>
      <c r="Q20" s="389"/>
      <c r="R20" s="389"/>
      <c r="S20" s="389"/>
      <c r="T20" s="523">
        <f t="shared" si="3"/>
        <v>9</v>
      </c>
      <c r="U20" s="524">
        <f t="shared" si="0"/>
        <v>27411.16751269035</v>
      </c>
    </row>
    <row r="21" spans="1:21" s="415" customFormat="1" ht="17.25" x14ac:dyDescent="0.3">
      <c r="A21" s="386">
        <v>14</v>
      </c>
      <c r="B21" s="394" t="s">
        <v>680</v>
      </c>
      <c r="C21" s="388">
        <v>0</v>
      </c>
      <c r="D21" s="389" t="s">
        <v>681</v>
      </c>
      <c r="E21" s="390">
        <v>95000</v>
      </c>
      <c r="F21" s="391">
        <f t="shared" si="1"/>
        <v>4383.9409321642825</v>
      </c>
      <c r="G21" s="392">
        <v>15</v>
      </c>
      <c r="H21" s="389">
        <f t="shared" si="2"/>
        <v>15</v>
      </c>
      <c r="I21" s="389">
        <v>5</v>
      </c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523">
        <f t="shared" si="3"/>
        <v>10</v>
      </c>
      <c r="U21" s="524">
        <f t="shared" si="0"/>
        <v>43839.409321642823</v>
      </c>
    </row>
    <row r="22" spans="1:21" s="415" customFormat="1" ht="17.25" x14ac:dyDescent="0.3">
      <c r="A22" s="386">
        <v>15</v>
      </c>
      <c r="B22" s="393" t="s">
        <v>682</v>
      </c>
      <c r="C22" s="388">
        <v>25</v>
      </c>
      <c r="D22" s="389" t="s">
        <v>683</v>
      </c>
      <c r="E22" s="390">
        <v>85000</v>
      </c>
      <c r="F22" s="391">
        <f t="shared" si="1"/>
        <v>3922.4734656206733</v>
      </c>
      <c r="G22" s="392">
        <v>30</v>
      </c>
      <c r="H22" s="389">
        <f t="shared" si="2"/>
        <v>55</v>
      </c>
      <c r="I22" s="389"/>
      <c r="J22" s="389"/>
      <c r="K22" s="389"/>
      <c r="L22" s="389"/>
      <c r="M22" s="389">
        <v>30</v>
      </c>
      <c r="N22" s="389"/>
      <c r="O22" s="389"/>
      <c r="P22" s="389"/>
      <c r="Q22" s="389"/>
      <c r="R22" s="389"/>
      <c r="S22" s="389"/>
      <c r="T22" s="523">
        <f t="shared" si="3"/>
        <v>25</v>
      </c>
      <c r="U22" s="524">
        <f t="shared" si="0"/>
        <v>98061.836640516834</v>
      </c>
    </row>
    <row r="23" spans="1:21" s="415" customFormat="1" ht="17.25" x14ac:dyDescent="0.3">
      <c r="A23" s="386">
        <v>16</v>
      </c>
      <c r="B23" s="393" t="s">
        <v>684</v>
      </c>
      <c r="C23" s="388">
        <v>0</v>
      </c>
      <c r="D23" s="389" t="s">
        <v>677</v>
      </c>
      <c r="E23" s="390">
        <v>27500</v>
      </c>
      <c r="F23" s="391">
        <f t="shared" si="1"/>
        <v>1269.0355329949239</v>
      </c>
      <c r="G23" s="392">
        <v>15</v>
      </c>
      <c r="H23" s="389">
        <f>C23+G23</f>
        <v>15</v>
      </c>
      <c r="I23" s="389"/>
      <c r="J23" s="389">
        <v>15</v>
      </c>
      <c r="K23" s="389"/>
      <c r="L23" s="389"/>
      <c r="M23" s="389"/>
      <c r="N23" s="389"/>
      <c r="O23" s="389"/>
      <c r="P23" s="389"/>
      <c r="Q23" s="389"/>
      <c r="R23" s="389"/>
      <c r="S23" s="389"/>
      <c r="T23" s="523">
        <f t="shared" si="3"/>
        <v>0</v>
      </c>
      <c r="U23" s="524">
        <f t="shared" si="0"/>
        <v>0</v>
      </c>
    </row>
    <row r="24" spans="1:21" s="415" customFormat="1" ht="17.25" x14ac:dyDescent="0.3">
      <c r="A24" s="386">
        <v>17</v>
      </c>
      <c r="B24" s="393" t="s">
        <v>685</v>
      </c>
      <c r="C24" s="388">
        <v>10</v>
      </c>
      <c r="D24" s="389" t="s">
        <v>686</v>
      </c>
      <c r="E24" s="390">
        <v>95000</v>
      </c>
      <c r="F24" s="391">
        <f t="shared" si="1"/>
        <v>4383.9409321642825</v>
      </c>
      <c r="G24" s="392">
        <v>15</v>
      </c>
      <c r="H24" s="389">
        <f t="shared" si="2"/>
        <v>25</v>
      </c>
      <c r="I24" s="389"/>
      <c r="J24" s="389"/>
      <c r="K24" s="389"/>
      <c r="L24" s="389"/>
      <c r="M24" s="389"/>
      <c r="N24" s="389">
        <v>8</v>
      </c>
      <c r="O24" s="389"/>
      <c r="P24" s="389">
        <v>10</v>
      </c>
      <c r="Q24" s="389"/>
      <c r="R24" s="389"/>
      <c r="S24" s="389"/>
      <c r="T24" s="523">
        <f t="shared" si="3"/>
        <v>7</v>
      </c>
      <c r="U24" s="524">
        <f t="shared" si="0"/>
        <v>30687.586525149978</v>
      </c>
    </row>
    <row r="25" spans="1:21" s="415" customFormat="1" ht="17.25" x14ac:dyDescent="0.3">
      <c r="A25" s="386">
        <v>18</v>
      </c>
      <c r="B25" s="393" t="s">
        <v>687</v>
      </c>
      <c r="C25" s="388">
        <v>0</v>
      </c>
      <c r="D25" s="389" t="s">
        <v>688</v>
      </c>
      <c r="E25" s="390">
        <v>99000</v>
      </c>
      <c r="F25" s="391">
        <f t="shared" si="1"/>
        <v>4568.5279187817259</v>
      </c>
      <c r="G25" s="392">
        <v>30</v>
      </c>
      <c r="H25" s="389">
        <f>C25+G25</f>
        <v>30</v>
      </c>
      <c r="I25" s="389"/>
      <c r="J25" s="389"/>
      <c r="K25" s="389"/>
      <c r="L25" s="389"/>
      <c r="M25" s="389"/>
      <c r="N25" s="389"/>
      <c r="O25" s="389">
        <v>30</v>
      </c>
      <c r="P25" s="389"/>
      <c r="Q25" s="389"/>
      <c r="R25" s="389"/>
      <c r="S25" s="389"/>
      <c r="T25" s="523">
        <f t="shared" si="3"/>
        <v>0</v>
      </c>
      <c r="U25" s="524">
        <f t="shared" si="0"/>
        <v>0</v>
      </c>
    </row>
    <row r="26" spans="1:21" s="415" customFormat="1" ht="17.25" x14ac:dyDescent="0.3">
      <c r="A26" s="386">
        <v>19</v>
      </c>
      <c r="B26" s="393" t="s">
        <v>689</v>
      </c>
      <c r="C26" s="388">
        <v>5</v>
      </c>
      <c r="D26" s="389" t="s">
        <v>690</v>
      </c>
      <c r="E26" s="390">
        <v>33000</v>
      </c>
      <c r="F26" s="391">
        <f t="shared" si="1"/>
        <v>1522.8426395939084</v>
      </c>
      <c r="G26" s="392">
        <v>15</v>
      </c>
      <c r="H26" s="389">
        <f t="shared" si="2"/>
        <v>20</v>
      </c>
      <c r="I26" s="389"/>
      <c r="J26" s="389"/>
      <c r="K26" s="389"/>
      <c r="L26" s="389"/>
      <c r="M26" s="389"/>
      <c r="N26" s="389"/>
      <c r="O26" s="389"/>
      <c r="P26" s="389">
        <v>5</v>
      </c>
      <c r="Q26" s="389"/>
      <c r="R26" s="389"/>
      <c r="S26" s="389">
        <v>11</v>
      </c>
      <c r="T26" s="523">
        <f t="shared" si="3"/>
        <v>4</v>
      </c>
      <c r="U26" s="524">
        <f t="shared" si="0"/>
        <v>6091.3705583756337</v>
      </c>
    </row>
    <row r="27" spans="1:21" s="415" customFormat="1" ht="17.25" x14ac:dyDescent="0.3">
      <c r="A27" s="386">
        <v>20</v>
      </c>
      <c r="B27" s="393" t="s">
        <v>691</v>
      </c>
      <c r="C27" s="388">
        <v>15</v>
      </c>
      <c r="D27" s="389" t="s">
        <v>692</v>
      </c>
      <c r="E27" s="390">
        <v>49500</v>
      </c>
      <c r="F27" s="391">
        <f t="shared" si="1"/>
        <v>2284.263959390863</v>
      </c>
      <c r="G27" s="392">
        <v>20</v>
      </c>
      <c r="H27" s="389">
        <f t="shared" si="2"/>
        <v>35</v>
      </c>
      <c r="I27" s="389"/>
      <c r="J27" s="389"/>
      <c r="K27" s="389"/>
      <c r="L27" s="389"/>
      <c r="M27" s="389"/>
      <c r="N27" s="389">
        <v>15</v>
      </c>
      <c r="O27" s="389"/>
      <c r="P27" s="389">
        <v>5</v>
      </c>
      <c r="Q27" s="389"/>
      <c r="R27" s="389"/>
      <c r="S27" s="389"/>
      <c r="T27" s="523">
        <f t="shared" si="3"/>
        <v>15</v>
      </c>
      <c r="U27" s="524">
        <f t="shared" si="0"/>
        <v>34263.959390862947</v>
      </c>
    </row>
    <row r="28" spans="1:21" s="415" customFormat="1" ht="17.25" x14ac:dyDescent="0.3">
      <c r="A28" s="386">
        <v>21</v>
      </c>
      <c r="B28" s="394" t="s">
        <v>693</v>
      </c>
      <c r="C28" s="388">
        <v>5</v>
      </c>
      <c r="D28" s="389" t="s">
        <v>677</v>
      </c>
      <c r="E28" s="390">
        <v>31500</v>
      </c>
      <c r="F28" s="391">
        <f t="shared" si="1"/>
        <v>1453.6225196123671</v>
      </c>
      <c r="G28" s="392">
        <v>30</v>
      </c>
      <c r="H28" s="389">
        <f t="shared" si="2"/>
        <v>35</v>
      </c>
      <c r="I28" s="389">
        <v>5</v>
      </c>
      <c r="J28" s="389"/>
      <c r="K28" s="389"/>
      <c r="L28" s="389"/>
      <c r="M28" s="389">
        <v>30</v>
      </c>
      <c r="N28" s="389"/>
      <c r="O28" s="389"/>
      <c r="P28" s="389"/>
      <c r="Q28" s="389"/>
      <c r="R28" s="389"/>
      <c r="S28" s="389"/>
      <c r="T28" s="523">
        <f t="shared" si="3"/>
        <v>0</v>
      </c>
      <c r="U28" s="524">
        <f t="shared" si="0"/>
        <v>0</v>
      </c>
    </row>
    <row r="29" spans="1:21" s="415" customFormat="1" ht="17.25" x14ac:dyDescent="0.3">
      <c r="A29" s="386">
        <v>22</v>
      </c>
      <c r="B29" s="393" t="s">
        <v>694</v>
      </c>
      <c r="C29" s="388">
        <v>24</v>
      </c>
      <c r="D29" s="389" t="s">
        <v>695</v>
      </c>
      <c r="E29" s="390">
        <v>120000</v>
      </c>
      <c r="F29" s="391">
        <f t="shared" si="1"/>
        <v>5537.6095985233032</v>
      </c>
      <c r="G29" s="392">
        <v>30</v>
      </c>
      <c r="H29" s="389">
        <f t="shared" si="2"/>
        <v>54</v>
      </c>
      <c r="I29" s="389"/>
      <c r="J29" s="389"/>
      <c r="K29" s="389"/>
      <c r="L29" s="389"/>
      <c r="M29" s="389">
        <v>2</v>
      </c>
      <c r="N29" s="389">
        <v>1</v>
      </c>
      <c r="O29" s="389"/>
      <c r="P29" s="389"/>
      <c r="Q29" s="389"/>
      <c r="R29" s="389"/>
      <c r="S29" s="389"/>
      <c r="T29" s="523">
        <f t="shared" si="3"/>
        <v>51</v>
      </c>
      <c r="U29" s="524">
        <f t="shared" si="0"/>
        <v>282418.08952468849</v>
      </c>
    </row>
    <row r="30" spans="1:21" s="415" customFormat="1" ht="17.25" x14ac:dyDescent="0.3">
      <c r="A30" s="386">
        <v>23</v>
      </c>
      <c r="B30" s="393" t="s">
        <v>696</v>
      </c>
      <c r="C30" s="388">
        <v>15</v>
      </c>
      <c r="D30" s="389" t="s">
        <v>690</v>
      </c>
      <c r="E30" s="390">
        <v>33000</v>
      </c>
      <c r="F30" s="391">
        <f t="shared" si="1"/>
        <v>1522.8426395939084</v>
      </c>
      <c r="G30" s="392">
        <v>20</v>
      </c>
      <c r="H30" s="389">
        <f t="shared" si="2"/>
        <v>35</v>
      </c>
      <c r="I30" s="389">
        <v>20</v>
      </c>
      <c r="J30" s="389"/>
      <c r="K30" s="389"/>
      <c r="L30" s="389"/>
      <c r="M30" s="389"/>
      <c r="N30" s="389"/>
      <c r="O30" s="389"/>
      <c r="P30" s="389"/>
      <c r="Q30" s="389">
        <v>4</v>
      </c>
      <c r="R30" s="389"/>
      <c r="S30" s="389"/>
      <c r="T30" s="523">
        <f t="shared" si="3"/>
        <v>11</v>
      </c>
      <c r="U30" s="524">
        <f t="shared" si="0"/>
        <v>16751.269035532994</v>
      </c>
    </row>
    <row r="31" spans="1:21" s="415" customFormat="1" ht="17.25" x14ac:dyDescent="0.3">
      <c r="A31" s="386">
        <v>24</v>
      </c>
      <c r="B31" s="393" t="s">
        <v>697</v>
      </c>
      <c r="C31" s="388">
        <v>20</v>
      </c>
      <c r="D31" s="389" t="s">
        <v>673</v>
      </c>
      <c r="E31" s="390">
        <v>110000</v>
      </c>
      <c r="F31" s="391">
        <f t="shared" si="1"/>
        <v>5076.1421319796955</v>
      </c>
      <c r="G31" s="392">
        <v>25</v>
      </c>
      <c r="H31" s="389">
        <f t="shared" si="2"/>
        <v>45</v>
      </c>
      <c r="I31" s="389"/>
      <c r="J31" s="389"/>
      <c r="K31" s="389"/>
      <c r="L31" s="389"/>
      <c r="M31" s="389"/>
      <c r="N31" s="389"/>
      <c r="O31" s="389"/>
      <c r="P31" s="389">
        <v>25</v>
      </c>
      <c r="Q31" s="389"/>
      <c r="R31" s="389"/>
      <c r="S31" s="389"/>
      <c r="T31" s="523">
        <f t="shared" si="3"/>
        <v>20</v>
      </c>
      <c r="U31" s="524">
        <f t="shared" si="0"/>
        <v>101522.8426395939</v>
      </c>
    </row>
    <row r="32" spans="1:21" s="415" customFormat="1" ht="17.25" x14ac:dyDescent="0.3">
      <c r="A32" s="386">
        <v>25</v>
      </c>
      <c r="B32" s="393" t="s">
        <v>698</v>
      </c>
      <c r="C32" s="388">
        <v>15</v>
      </c>
      <c r="D32" s="389" t="s">
        <v>699</v>
      </c>
      <c r="E32" s="390">
        <v>100000</v>
      </c>
      <c r="F32" s="391">
        <f t="shared" si="1"/>
        <v>4614.6746654360868</v>
      </c>
      <c r="G32" s="392">
        <v>25</v>
      </c>
      <c r="H32" s="389">
        <f t="shared" si="2"/>
        <v>40</v>
      </c>
      <c r="I32" s="389">
        <v>10</v>
      </c>
      <c r="J32" s="389"/>
      <c r="K32" s="389">
        <v>15</v>
      </c>
      <c r="L32" s="389"/>
      <c r="M32" s="389"/>
      <c r="N32" s="389"/>
      <c r="O32" s="389"/>
      <c r="P32" s="389"/>
      <c r="Q32" s="389"/>
      <c r="R32" s="389"/>
      <c r="S32" s="389"/>
      <c r="T32" s="523">
        <f t="shared" si="3"/>
        <v>15</v>
      </c>
      <c r="U32" s="524">
        <f t="shared" si="0"/>
        <v>69220.119981541298</v>
      </c>
    </row>
    <row r="33" spans="1:21" s="415" customFormat="1" ht="17.25" x14ac:dyDescent="0.3">
      <c r="A33" s="386">
        <v>26</v>
      </c>
      <c r="B33" s="393" t="s">
        <v>700</v>
      </c>
      <c r="C33" s="388">
        <v>4</v>
      </c>
      <c r="D33" s="389" t="s">
        <v>671</v>
      </c>
      <c r="E33" s="390">
        <v>24000</v>
      </c>
      <c r="F33" s="391">
        <f t="shared" si="1"/>
        <v>1107.5219197046608</v>
      </c>
      <c r="G33" s="392">
        <v>25</v>
      </c>
      <c r="H33" s="389">
        <f t="shared" si="2"/>
        <v>29</v>
      </c>
      <c r="I33" s="389">
        <v>1</v>
      </c>
      <c r="J33" s="389"/>
      <c r="K33" s="389"/>
      <c r="L33" s="389"/>
      <c r="M33" s="389">
        <v>3</v>
      </c>
      <c r="N33" s="389"/>
      <c r="O33" s="389"/>
      <c r="P33" s="389"/>
      <c r="Q33" s="389">
        <v>20</v>
      </c>
      <c r="R33" s="389"/>
      <c r="S33" s="389"/>
      <c r="T33" s="523">
        <f t="shared" si="3"/>
        <v>5</v>
      </c>
      <c r="U33" s="524">
        <f t="shared" si="0"/>
        <v>5537.6095985233042</v>
      </c>
    </row>
    <row r="34" spans="1:21" s="415" customFormat="1" ht="17.25" x14ac:dyDescent="0.3">
      <c r="A34" s="386">
        <v>27</v>
      </c>
      <c r="B34" s="393" t="s">
        <v>701</v>
      </c>
      <c r="C34" s="388">
        <v>22</v>
      </c>
      <c r="D34" s="389" t="s">
        <v>660</v>
      </c>
      <c r="E34" s="390">
        <v>132000</v>
      </c>
      <c r="F34" s="391">
        <f t="shared" si="1"/>
        <v>6091.3705583756337</v>
      </c>
      <c r="G34" s="392">
        <v>30</v>
      </c>
      <c r="H34" s="389">
        <f t="shared" si="2"/>
        <v>52</v>
      </c>
      <c r="I34" s="389"/>
      <c r="J34" s="389"/>
      <c r="K34" s="389"/>
      <c r="L34" s="389">
        <v>12</v>
      </c>
      <c r="M34" s="389"/>
      <c r="N34" s="389">
        <v>11</v>
      </c>
      <c r="O34" s="389"/>
      <c r="P34" s="389"/>
      <c r="Q34" s="389"/>
      <c r="R34" s="389">
        <v>17</v>
      </c>
      <c r="S34" s="389"/>
      <c r="T34" s="523">
        <f t="shared" si="3"/>
        <v>12</v>
      </c>
      <c r="U34" s="524">
        <f t="shared" si="0"/>
        <v>73096.4467005076</v>
      </c>
    </row>
    <row r="35" spans="1:21" s="415" customFormat="1" ht="17.25" x14ac:dyDescent="0.3">
      <c r="A35" s="386">
        <v>28</v>
      </c>
      <c r="B35" s="393" t="s">
        <v>702</v>
      </c>
      <c r="C35" s="388">
        <v>0</v>
      </c>
      <c r="D35" s="389" t="s">
        <v>389</v>
      </c>
      <c r="E35" s="390">
        <v>132000</v>
      </c>
      <c r="F35" s="391">
        <f t="shared" si="1"/>
        <v>6091.3705583756337</v>
      </c>
      <c r="G35" s="392">
        <v>20</v>
      </c>
      <c r="H35" s="389">
        <f t="shared" si="2"/>
        <v>20</v>
      </c>
      <c r="I35" s="389"/>
      <c r="J35" s="389">
        <v>6</v>
      </c>
      <c r="K35" s="389"/>
      <c r="L35" s="389"/>
      <c r="M35" s="389"/>
      <c r="N35" s="389"/>
      <c r="O35" s="389"/>
      <c r="P35" s="389"/>
      <c r="Q35" s="389"/>
      <c r="R35" s="389">
        <v>1</v>
      </c>
      <c r="S35" s="389"/>
      <c r="T35" s="523">
        <f t="shared" si="3"/>
        <v>13</v>
      </c>
      <c r="U35" s="524">
        <f t="shared" si="0"/>
        <v>79187.817258883239</v>
      </c>
    </row>
    <row r="36" spans="1:21" s="415" customFormat="1" ht="17.25" x14ac:dyDescent="0.3">
      <c r="A36" s="386">
        <v>29</v>
      </c>
      <c r="B36" s="394" t="s">
        <v>703</v>
      </c>
      <c r="C36" s="388">
        <v>0</v>
      </c>
      <c r="D36" s="389" t="s">
        <v>677</v>
      </c>
      <c r="E36" s="390">
        <v>27500</v>
      </c>
      <c r="F36" s="391">
        <f t="shared" si="1"/>
        <v>1269.0355329949239</v>
      </c>
      <c r="G36" s="392">
        <v>20</v>
      </c>
      <c r="H36" s="389">
        <f t="shared" si="2"/>
        <v>20</v>
      </c>
      <c r="I36" s="389"/>
      <c r="J36" s="389">
        <v>6</v>
      </c>
      <c r="K36" s="389"/>
      <c r="L36" s="389"/>
      <c r="M36" s="389"/>
      <c r="N36" s="389">
        <v>10</v>
      </c>
      <c r="O36" s="389"/>
      <c r="P36" s="389"/>
      <c r="Q36" s="389"/>
      <c r="R36" s="389"/>
      <c r="S36" s="389"/>
      <c r="T36" s="523">
        <f t="shared" si="3"/>
        <v>4</v>
      </c>
      <c r="U36" s="524">
        <f t="shared" si="0"/>
        <v>5076.1421319796955</v>
      </c>
    </row>
    <row r="37" spans="1:21" s="415" customFormat="1" ht="17.25" x14ac:dyDescent="0.3">
      <c r="A37" s="386">
        <v>30</v>
      </c>
      <c r="B37" s="393" t="s">
        <v>704</v>
      </c>
      <c r="C37" s="388">
        <v>0</v>
      </c>
      <c r="D37" s="389" t="s">
        <v>705</v>
      </c>
      <c r="E37" s="390">
        <v>49500</v>
      </c>
      <c r="F37" s="391">
        <f t="shared" si="1"/>
        <v>2284.263959390863</v>
      </c>
      <c r="G37" s="392">
        <v>30</v>
      </c>
      <c r="H37" s="389">
        <f t="shared" si="2"/>
        <v>30</v>
      </c>
      <c r="I37" s="389"/>
      <c r="J37" s="389">
        <v>10</v>
      </c>
      <c r="K37" s="389"/>
      <c r="L37" s="389"/>
      <c r="M37" s="389">
        <v>1</v>
      </c>
      <c r="N37" s="389"/>
      <c r="O37" s="389"/>
      <c r="P37" s="389">
        <v>15</v>
      </c>
      <c r="Q37" s="389"/>
      <c r="R37" s="389"/>
      <c r="S37" s="389"/>
      <c r="T37" s="523">
        <f>H37-I37-J37-K37-L37-M37-N37-O37-P37-Q37-R37-S37</f>
        <v>4</v>
      </c>
      <c r="U37" s="524">
        <f t="shared" si="0"/>
        <v>9137.0558375634519</v>
      </c>
    </row>
    <row r="38" spans="1:21" s="415" customFormat="1" ht="17.25" x14ac:dyDescent="0.3">
      <c r="A38" s="386">
        <v>31</v>
      </c>
      <c r="B38" s="393" t="s">
        <v>706</v>
      </c>
      <c r="C38" s="388">
        <v>3</v>
      </c>
      <c r="D38" s="389" t="s">
        <v>686</v>
      </c>
      <c r="E38" s="390">
        <v>95000</v>
      </c>
      <c r="F38" s="391">
        <f t="shared" si="1"/>
        <v>4383.9409321642825</v>
      </c>
      <c r="G38" s="392">
        <v>15</v>
      </c>
      <c r="H38" s="389">
        <v>18</v>
      </c>
      <c r="I38" s="389"/>
      <c r="J38" s="389"/>
      <c r="K38" s="389"/>
      <c r="L38" s="389"/>
      <c r="M38" s="389">
        <v>5</v>
      </c>
      <c r="N38" s="389">
        <v>2</v>
      </c>
      <c r="O38" s="389"/>
      <c r="P38" s="389"/>
      <c r="Q38" s="389">
        <v>3</v>
      </c>
      <c r="R38" s="389"/>
      <c r="S38" s="389">
        <v>3</v>
      </c>
      <c r="T38" s="523">
        <f>H38-I38-J38-K38-L38-M38-N38-O38-P38-Q38-R38-S38</f>
        <v>5</v>
      </c>
      <c r="U38" s="524">
        <f t="shared" si="0"/>
        <v>21919.704660821411</v>
      </c>
    </row>
    <row r="39" spans="1:21" s="415" customFormat="1" ht="17.25" x14ac:dyDescent="0.3">
      <c r="A39" s="386">
        <v>32</v>
      </c>
      <c r="B39" s="387" t="s">
        <v>707</v>
      </c>
      <c r="C39" s="388">
        <v>0</v>
      </c>
      <c r="D39" s="389" t="s">
        <v>708</v>
      </c>
      <c r="E39" s="390">
        <v>22000</v>
      </c>
      <c r="F39" s="391">
        <f t="shared" si="1"/>
        <v>1015.228426395939</v>
      </c>
      <c r="G39" s="392">
        <v>15</v>
      </c>
      <c r="H39" s="389">
        <f t="shared" si="2"/>
        <v>15</v>
      </c>
      <c r="I39" s="389"/>
      <c r="J39" s="389"/>
      <c r="K39" s="389"/>
      <c r="L39" s="389"/>
      <c r="M39" s="389"/>
      <c r="N39" s="389"/>
      <c r="O39" s="389"/>
      <c r="P39" s="389"/>
      <c r="Q39" s="389">
        <v>1</v>
      </c>
      <c r="R39" s="389"/>
      <c r="S39" s="389"/>
      <c r="T39" s="523">
        <f t="shared" si="3"/>
        <v>14</v>
      </c>
      <c r="U39" s="524">
        <f t="shared" si="0"/>
        <v>14213.197969543146</v>
      </c>
    </row>
    <row r="40" spans="1:21" s="415" customFormat="1" ht="17.25" x14ac:dyDescent="0.3">
      <c r="A40" s="386">
        <v>33</v>
      </c>
      <c r="B40" s="393" t="s">
        <v>709</v>
      </c>
      <c r="C40" s="388">
        <v>0</v>
      </c>
      <c r="D40" s="389" t="s">
        <v>710</v>
      </c>
      <c r="E40" s="390">
        <v>23000</v>
      </c>
      <c r="F40" s="391">
        <f t="shared" si="1"/>
        <v>1061.3751730503</v>
      </c>
      <c r="G40" s="392">
        <v>15</v>
      </c>
      <c r="H40" s="389">
        <f t="shared" si="2"/>
        <v>15</v>
      </c>
      <c r="I40" s="389"/>
      <c r="J40" s="389">
        <v>6</v>
      </c>
      <c r="K40" s="389"/>
      <c r="L40" s="389"/>
      <c r="M40" s="389">
        <v>1</v>
      </c>
      <c r="N40" s="389"/>
      <c r="O40" s="389">
        <v>1</v>
      </c>
      <c r="P40" s="389"/>
      <c r="Q40" s="389"/>
      <c r="R40" s="389">
        <v>4</v>
      </c>
      <c r="S40" s="389"/>
      <c r="T40" s="523">
        <f t="shared" si="3"/>
        <v>3</v>
      </c>
      <c r="U40" s="524">
        <f t="shared" si="0"/>
        <v>3184.1255191508999</v>
      </c>
    </row>
    <row r="41" spans="1:21" s="415" customFormat="1" ht="17.25" x14ac:dyDescent="0.3">
      <c r="A41" s="386">
        <v>34</v>
      </c>
      <c r="B41" s="393" t="s">
        <v>711</v>
      </c>
      <c r="C41" s="388">
        <v>0</v>
      </c>
      <c r="D41" s="389" t="s">
        <v>712</v>
      </c>
      <c r="E41" s="390">
        <v>66000</v>
      </c>
      <c r="F41" s="391">
        <f t="shared" si="1"/>
        <v>3045.6852791878168</v>
      </c>
      <c r="G41" s="392">
        <v>15</v>
      </c>
      <c r="H41" s="389">
        <f t="shared" si="2"/>
        <v>15</v>
      </c>
      <c r="I41" s="389"/>
      <c r="J41" s="389"/>
      <c r="K41" s="389"/>
      <c r="L41" s="389"/>
      <c r="M41" s="389"/>
      <c r="N41" s="389">
        <v>1</v>
      </c>
      <c r="O41" s="389">
        <v>1</v>
      </c>
      <c r="P41" s="389"/>
      <c r="Q41" s="389"/>
      <c r="R41" s="389"/>
      <c r="S41" s="389"/>
      <c r="T41" s="523">
        <f t="shared" si="3"/>
        <v>13</v>
      </c>
      <c r="U41" s="524">
        <f t="shared" si="0"/>
        <v>39593.908629441619</v>
      </c>
    </row>
    <row r="42" spans="1:21" s="415" customFormat="1" ht="17.25" x14ac:dyDescent="0.3">
      <c r="A42" s="386">
        <v>35</v>
      </c>
      <c r="B42" s="394" t="s">
        <v>713</v>
      </c>
      <c r="C42" s="388">
        <v>10</v>
      </c>
      <c r="D42" s="395" t="s">
        <v>671</v>
      </c>
      <c r="E42" s="390">
        <v>23650</v>
      </c>
      <c r="F42" s="391">
        <f t="shared" si="1"/>
        <v>1091.3705583756343</v>
      </c>
      <c r="G42" s="392">
        <v>30</v>
      </c>
      <c r="H42" s="389">
        <f t="shared" si="2"/>
        <v>40</v>
      </c>
      <c r="I42" s="389">
        <v>9</v>
      </c>
      <c r="J42" s="389"/>
      <c r="K42" s="389"/>
      <c r="L42" s="389">
        <v>11</v>
      </c>
      <c r="M42" s="389"/>
      <c r="N42" s="389"/>
      <c r="O42" s="389"/>
      <c r="P42" s="389"/>
      <c r="Q42" s="389"/>
      <c r="R42" s="389"/>
      <c r="S42" s="389"/>
      <c r="T42" s="523">
        <f t="shared" si="3"/>
        <v>20</v>
      </c>
      <c r="U42" s="524">
        <f t="shared" si="0"/>
        <v>21827.411167512688</v>
      </c>
    </row>
    <row r="43" spans="1:21" s="415" customFormat="1" ht="17.25" x14ac:dyDescent="0.3">
      <c r="A43" s="386">
        <v>36</v>
      </c>
      <c r="B43" s="387" t="s">
        <v>714</v>
      </c>
      <c r="C43" s="388">
        <v>0</v>
      </c>
      <c r="D43" s="395" t="s">
        <v>677</v>
      </c>
      <c r="E43" s="390">
        <v>27500</v>
      </c>
      <c r="F43" s="391">
        <f t="shared" si="1"/>
        <v>1269.0355329949239</v>
      </c>
      <c r="G43" s="392">
        <v>15</v>
      </c>
      <c r="H43" s="389">
        <f t="shared" si="2"/>
        <v>15</v>
      </c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523">
        <f t="shared" si="3"/>
        <v>15</v>
      </c>
      <c r="U43" s="524">
        <f t="shared" si="0"/>
        <v>19035.532994923858</v>
      </c>
    </row>
    <row r="44" spans="1:21" s="415" customFormat="1" ht="17.25" x14ac:dyDescent="0.3">
      <c r="A44" s="386">
        <v>37</v>
      </c>
      <c r="B44" s="394" t="s">
        <v>715</v>
      </c>
      <c r="C44" s="388">
        <v>11</v>
      </c>
      <c r="D44" s="389" t="s">
        <v>716</v>
      </c>
      <c r="E44" s="390">
        <v>605000</v>
      </c>
      <c r="F44" s="391">
        <f t="shared" si="1"/>
        <v>27918.781725888322</v>
      </c>
      <c r="G44" s="392">
        <v>20</v>
      </c>
      <c r="H44" s="389">
        <f t="shared" si="2"/>
        <v>31</v>
      </c>
      <c r="I44" s="389"/>
      <c r="J44" s="389"/>
      <c r="K44" s="389"/>
      <c r="L44" s="389"/>
      <c r="M44" s="389"/>
      <c r="N44" s="389"/>
      <c r="O44" s="389"/>
      <c r="P44" s="389"/>
      <c r="Q44" s="389"/>
      <c r="R44" s="389">
        <v>2</v>
      </c>
      <c r="S44" s="389">
        <v>14</v>
      </c>
      <c r="T44" s="523">
        <f t="shared" si="3"/>
        <v>15</v>
      </c>
      <c r="U44" s="524">
        <f t="shared" si="0"/>
        <v>418781.72588832484</v>
      </c>
    </row>
    <row r="45" spans="1:21" s="415" customFormat="1" ht="17.25" x14ac:dyDescent="0.3">
      <c r="A45" s="386">
        <v>38</v>
      </c>
      <c r="B45" s="393" t="s">
        <v>717</v>
      </c>
      <c r="C45" s="388">
        <v>0</v>
      </c>
      <c r="D45" s="389" t="s">
        <v>718</v>
      </c>
      <c r="E45" s="390">
        <v>34000</v>
      </c>
      <c r="F45" s="391">
        <f t="shared" si="1"/>
        <v>1568.9893862482693</v>
      </c>
      <c r="G45" s="392">
        <v>20</v>
      </c>
      <c r="H45" s="389">
        <f t="shared" si="2"/>
        <v>20</v>
      </c>
      <c r="I45" s="389"/>
      <c r="J45" s="389"/>
      <c r="K45" s="389"/>
      <c r="L45" s="389">
        <v>11</v>
      </c>
      <c r="M45" s="389"/>
      <c r="N45" s="389"/>
      <c r="O45" s="389"/>
      <c r="P45" s="389"/>
      <c r="Q45" s="389">
        <v>4</v>
      </c>
      <c r="R45" s="389"/>
      <c r="S45" s="389">
        <v>5</v>
      </c>
      <c r="T45" s="523">
        <f t="shared" si="3"/>
        <v>0</v>
      </c>
      <c r="U45" s="524">
        <f t="shared" si="0"/>
        <v>0</v>
      </c>
    </row>
    <row r="46" spans="1:21" s="415" customFormat="1" ht="17.25" x14ac:dyDescent="0.3">
      <c r="A46" s="386">
        <v>39</v>
      </c>
      <c r="B46" s="393" t="s">
        <v>719</v>
      </c>
      <c r="C46" s="388">
        <v>0</v>
      </c>
      <c r="D46" s="389" t="s">
        <v>720</v>
      </c>
      <c r="E46" s="390">
        <v>360000</v>
      </c>
      <c r="F46" s="391">
        <f t="shared" si="1"/>
        <v>16612.828795569912</v>
      </c>
      <c r="G46" s="392">
        <v>20</v>
      </c>
      <c r="H46" s="389">
        <f t="shared" si="2"/>
        <v>20</v>
      </c>
      <c r="I46" s="389"/>
      <c r="J46" s="389"/>
      <c r="K46" s="389"/>
      <c r="L46" s="389"/>
      <c r="M46" s="389"/>
      <c r="N46" s="389"/>
      <c r="O46" s="389"/>
      <c r="P46" s="389">
        <v>7</v>
      </c>
      <c r="Q46" s="389"/>
      <c r="R46" s="389"/>
      <c r="S46" s="389">
        <v>2</v>
      </c>
      <c r="T46" s="523">
        <f t="shared" si="3"/>
        <v>11</v>
      </c>
      <c r="U46" s="524">
        <f t="shared" si="0"/>
        <v>182741.11675126903</v>
      </c>
    </row>
    <row r="47" spans="1:21" s="415" customFormat="1" ht="17.25" x14ac:dyDescent="0.3">
      <c r="A47" s="386">
        <v>40</v>
      </c>
      <c r="B47" s="393" t="s">
        <v>721</v>
      </c>
      <c r="C47" s="388">
        <v>0</v>
      </c>
      <c r="D47" s="389" t="s">
        <v>677</v>
      </c>
      <c r="E47" s="390">
        <v>27500</v>
      </c>
      <c r="F47" s="391">
        <f t="shared" si="1"/>
        <v>1269.0355329949239</v>
      </c>
      <c r="G47" s="392">
        <v>15</v>
      </c>
      <c r="H47" s="389">
        <f t="shared" si="2"/>
        <v>15</v>
      </c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523">
        <f t="shared" si="3"/>
        <v>15</v>
      </c>
      <c r="U47" s="524">
        <f t="shared" si="0"/>
        <v>19035.532994923858</v>
      </c>
    </row>
    <row r="48" spans="1:21" s="415" customFormat="1" ht="17.25" x14ac:dyDescent="0.3">
      <c r="A48" s="386">
        <v>41</v>
      </c>
      <c r="B48" s="393" t="s">
        <v>722</v>
      </c>
      <c r="C48" s="388">
        <v>7</v>
      </c>
      <c r="D48" s="389" t="s">
        <v>723</v>
      </c>
      <c r="E48" s="390">
        <v>88000</v>
      </c>
      <c r="F48" s="391">
        <f t="shared" si="1"/>
        <v>4060.9137055837559</v>
      </c>
      <c r="G48" s="392">
        <v>30</v>
      </c>
      <c r="H48" s="389">
        <f t="shared" si="2"/>
        <v>37</v>
      </c>
      <c r="I48" s="389">
        <v>6</v>
      </c>
      <c r="J48" s="389"/>
      <c r="K48" s="389">
        <v>1</v>
      </c>
      <c r="L48" s="389">
        <v>6</v>
      </c>
      <c r="M48" s="389">
        <v>10</v>
      </c>
      <c r="N48" s="389">
        <v>1</v>
      </c>
      <c r="O48" s="389"/>
      <c r="P48" s="389"/>
      <c r="Q48" s="389"/>
      <c r="R48" s="389"/>
      <c r="S48" s="389"/>
      <c r="T48" s="523">
        <f t="shared" si="3"/>
        <v>13</v>
      </c>
      <c r="U48" s="524">
        <f t="shared" si="0"/>
        <v>52791.878172588826</v>
      </c>
    </row>
    <row r="49" spans="1:21" s="415" customFormat="1" ht="17.25" x14ac:dyDescent="0.3">
      <c r="A49" s="386">
        <v>42</v>
      </c>
      <c r="B49" s="387" t="s">
        <v>724</v>
      </c>
      <c r="C49" s="388">
        <v>0</v>
      </c>
      <c r="D49" s="389" t="s">
        <v>705</v>
      </c>
      <c r="E49" s="390">
        <v>49500</v>
      </c>
      <c r="F49" s="391">
        <f t="shared" si="1"/>
        <v>2284.263959390863</v>
      </c>
      <c r="G49" s="392">
        <v>30</v>
      </c>
      <c r="H49" s="389">
        <f t="shared" si="2"/>
        <v>30</v>
      </c>
      <c r="I49" s="389"/>
      <c r="J49" s="389"/>
      <c r="K49" s="389">
        <v>15</v>
      </c>
      <c r="L49" s="389"/>
      <c r="M49" s="389"/>
      <c r="N49" s="389"/>
      <c r="O49" s="389"/>
      <c r="P49" s="389"/>
      <c r="Q49" s="389"/>
      <c r="R49" s="389"/>
      <c r="S49" s="389"/>
      <c r="T49" s="523">
        <f t="shared" si="3"/>
        <v>15</v>
      </c>
      <c r="U49" s="524">
        <f t="shared" si="0"/>
        <v>34263.959390862947</v>
      </c>
    </row>
    <row r="50" spans="1:21" s="415" customFormat="1" ht="17.25" x14ac:dyDescent="0.3">
      <c r="A50" s="386">
        <v>43</v>
      </c>
      <c r="B50" s="394" t="s">
        <v>725</v>
      </c>
      <c r="C50" s="388">
        <v>0</v>
      </c>
      <c r="D50" s="389" t="s">
        <v>726</v>
      </c>
      <c r="E50" s="390">
        <v>88000</v>
      </c>
      <c r="F50" s="391">
        <f t="shared" si="1"/>
        <v>4060.9137055837559</v>
      </c>
      <c r="G50" s="392">
        <v>30</v>
      </c>
      <c r="H50" s="389">
        <f t="shared" si="2"/>
        <v>30</v>
      </c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523">
        <f t="shared" si="3"/>
        <v>30</v>
      </c>
      <c r="U50" s="524">
        <f t="shared" si="0"/>
        <v>121827.41116751268</v>
      </c>
    </row>
    <row r="51" spans="1:21" s="415" customFormat="1" ht="17.25" x14ac:dyDescent="0.3">
      <c r="A51" s="386">
        <v>44</v>
      </c>
      <c r="B51" s="394" t="s">
        <v>727</v>
      </c>
      <c r="C51" s="388">
        <v>15</v>
      </c>
      <c r="D51" s="389" t="s">
        <v>728</v>
      </c>
      <c r="E51" s="390">
        <v>49500</v>
      </c>
      <c r="F51" s="391">
        <f t="shared" si="1"/>
        <v>2284.263959390863</v>
      </c>
      <c r="G51" s="392">
        <v>25</v>
      </c>
      <c r="H51" s="389">
        <f t="shared" si="2"/>
        <v>40</v>
      </c>
      <c r="I51" s="389"/>
      <c r="J51" s="389"/>
      <c r="K51" s="389"/>
      <c r="L51" s="389">
        <v>10</v>
      </c>
      <c r="M51" s="389"/>
      <c r="N51" s="389"/>
      <c r="O51" s="389"/>
      <c r="P51" s="389">
        <v>15</v>
      </c>
      <c r="Q51" s="389"/>
      <c r="R51" s="389"/>
      <c r="S51" s="389"/>
      <c r="T51" s="523">
        <f t="shared" si="3"/>
        <v>15</v>
      </c>
      <c r="U51" s="524">
        <f t="shared" si="0"/>
        <v>34263.959390862947</v>
      </c>
    </row>
    <row r="52" spans="1:21" s="415" customFormat="1" ht="17.25" x14ac:dyDescent="0.3">
      <c r="A52" s="386">
        <v>45</v>
      </c>
      <c r="B52" s="394" t="s">
        <v>729</v>
      </c>
      <c r="C52" s="388">
        <v>15</v>
      </c>
      <c r="D52" s="389" t="s">
        <v>730</v>
      </c>
      <c r="E52" s="390">
        <v>220000</v>
      </c>
      <c r="F52" s="391">
        <f t="shared" si="1"/>
        <v>10152.284263959391</v>
      </c>
      <c r="G52" s="392">
        <v>20</v>
      </c>
      <c r="H52" s="389">
        <f t="shared" si="2"/>
        <v>35</v>
      </c>
      <c r="I52" s="389"/>
      <c r="J52" s="389">
        <v>5</v>
      </c>
      <c r="K52" s="389"/>
      <c r="L52" s="389"/>
      <c r="M52" s="389"/>
      <c r="N52" s="389"/>
      <c r="O52" s="389">
        <v>10</v>
      </c>
      <c r="P52" s="389"/>
      <c r="Q52" s="389"/>
      <c r="R52" s="389"/>
      <c r="S52" s="389">
        <v>5</v>
      </c>
      <c r="T52" s="523">
        <f t="shared" si="3"/>
        <v>15</v>
      </c>
      <c r="U52" s="524">
        <f t="shared" si="0"/>
        <v>152284.26395939087</v>
      </c>
    </row>
    <row r="53" spans="1:21" s="415" customFormat="1" ht="17.25" x14ac:dyDescent="0.3">
      <c r="A53" s="386">
        <v>46</v>
      </c>
      <c r="B53" s="387" t="s">
        <v>731</v>
      </c>
      <c r="C53" s="388">
        <v>10</v>
      </c>
      <c r="D53" s="389" t="s">
        <v>666</v>
      </c>
      <c r="E53" s="390">
        <v>66000</v>
      </c>
      <c r="F53" s="391">
        <f t="shared" si="1"/>
        <v>3045.6852791878168</v>
      </c>
      <c r="G53" s="392">
        <v>15</v>
      </c>
      <c r="H53" s="389">
        <f t="shared" si="2"/>
        <v>25</v>
      </c>
      <c r="I53" s="389"/>
      <c r="J53" s="389"/>
      <c r="K53" s="389"/>
      <c r="L53" s="389"/>
      <c r="M53" s="389"/>
      <c r="N53" s="389"/>
      <c r="O53" s="389"/>
      <c r="P53" s="389">
        <v>23</v>
      </c>
      <c r="Q53" s="389"/>
      <c r="R53" s="389"/>
      <c r="S53" s="389">
        <v>2</v>
      </c>
      <c r="T53" s="523">
        <f t="shared" si="3"/>
        <v>0</v>
      </c>
      <c r="U53" s="524">
        <f t="shared" si="0"/>
        <v>0</v>
      </c>
    </row>
    <row r="54" spans="1:21" s="415" customFormat="1" ht="17.25" x14ac:dyDescent="0.3">
      <c r="A54" s="386">
        <v>47</v>
      </c>
      <c r="B54" s="393" t="s">
        <v>732</v>
      </c>
      <c r="C54" s="388">
        <v>6</v>
      </c>
      <c r="D54" s="389" t="s">
        <v>389</v>
      </c>
      <c r="E54" s="390">
        <v>220000</v>
      </c>
      <c r="F54" s="391">
        <f t="shared" si="1"/>
        <v>10152.284263959391</v>
      </c>
      <c r="G54" s="392">
        <v>15</v>
      </c>
      <c r="H54" s="389">
        <f t="shared" si="2"/>
        <v>21</v>
      </c>
      <c r="I54" s="389"/>
      <c r="J54" s="389"/>
      <c r="K54" s="389">
        <v>11</v>
      </c>
      <c r="L54" s="389"/>
      <c r="M54" s="389"/>
      <c r="N54" s="389"/>
      <c r="O54" s="389"/>
      <c r="P54" s="389"/>
      <c r="Q54" s="389"/>
      <c r="R54" s="389">
        <v>10</v>
      </c>
      <c r="S54" s="389"/>
      <c r="T54" s="523">
        <f t="shared" si="3"/>
        <v>0</v>
      </c>
      <c r="U54" s="524">
        <f t="shared" si="0"/>
        <v>0</v>
      </c>
    </row>
    <row r="55" spans="1:21" s="415" customFormat="1" ht="17.25" x14ac:dyDescent="0.3">
      <c r="A55" s="386">
        <v>48</v>
      </c>
      <c r="B55" s="394" t="s">
        <v>733</v>
      </c>
      <c r="C55" s="388">
        <v>24</v>
      </c>
      <c r="D55" s="389" t="s">
        <v>389</v>
      </c>
      <c r="E55" s="390">
        <v>380000</v>
      </c>
      <c r="F55" s="391">
        <f t="shared" si="1"/>
        <v>17535.76372865713</v>
      </c>
      <c r="G55" s="392">
        <v>30</v>
      </c>
      <c r="H55" s="389">
        <f t="shared" si="2"/>
        <v>54</v>
      </c>
      <c r="I55" s="389"/>
      <c r="J55" s="389">
        <v>1</v>
      </c>
      <c r="K55" s="389">
        <v>1</v>
      </c>
      <c r="L55" s="389">
        <v>11</v>
      </c>
      <c r="M55" s="389"/>
      <c r="N55" s="389">
        <v>1</v>
      </c>
      <c r="O55" s="389">
        <v>1</v>
      </c>
      <c r="P55" s="389">
        <v>14</v>
      </c>
      <c r="Q55" s="389"/>
      <c r="R55" s="389">
        <v>10</v>
      </c>
      <c r="S55" s="389"/>
      <c r="T55" s="523">
        <f t="shared" si="3"/>
        <v>15</v>
      </c>
      <c r="U55" s="524">
        <f t="shared" si="0"/>
        <v>263036.45592985692</v>
      </c>
    </row>
    <row r="56" spans="1:21" s="415" customFormat="1" ht="17.25" x14ac:dyDescent="0.3">
      <c r="A56" s="386">
        <v>49</v>
      </c>
      <c r="B56" s="387" t="s">
        <v>734</v>
      </c>
      <c r="C56" s="388">
        <v>15</v>
      </c>
      <c r="D56" s="389" t="s">
        <v>735</v>
      </c>
      <c r="E56" s="390">
        <v>380000</v>
      </c>
      <c r="F56" s="391">
        <f t="shared" si="1"/>
        <v>17535.76372865713</v>
      </c>
      <c r="G56" s="392">
        <v>15</v>
      </c>
      <c r="H56" s="389">
        <f t="shared" si="2"/>
        <v>30</v>
      </c>
      <c r="I56" s="389"/>
      <c r="J56" s="389">
        <v>5</v>
      </c>
      <c r="K56" s="389"/>
      <c r="L56" s="389"/>
      <c r="M56" s="389"/>
      <c r="N56" s="389"/>
      <c r="O56" s="389"/>
      <c r="P56" s="389"/>
      <c r="Q56" s="389"/>
      <c r="R56" s="389"/>
      <c r="S56" s="389"/>
      <c r="T56" s="523">
        <f t="shared" si="3"/>
        <v>25</v>
      </c>
      <c r="U56" s="524">
        <f t="shared" si="0"/>
        <v>438394.09321642824</v>
      </c>
    </row>
    <row r="57" spans="1:21" s="415" customFormat="1" ht="17.25" x14ac:dyDescent="0.3">
      <c r="A57" s="386">
        <v>50</v>
      </c>
      <c r="B57" s="387" t="s">
        <v>736</v>
      </c>
      <c r="C57" s="388">
        <v>10</v>
      </c>
      <c r="D57" s="389" t="s">
        <v>690</v>
      </c>
      <c r="E57" s="390">
        <v>35750</v>
      </c>
      <c r="F57" s="391">
        <f t="shared" si="1"/>
        <v>1649.7461928934008</v>
      </c>
      <c r="G57" s="392">
        <v>30</v>
      </c>
      <c r="H57" s="389">
        <f t="shared" si="2"/>
        <v>40</v>
      </c>
      <c r="I57" s="389"/>
      <c r="J57" s="389"/>
      <c r="K57" s="389"/>
      <c r="L57" s="389"/>
      <c r="M57" s="389"/>
      <c r="N57" s="389"/>
      <c r="O57" s="389">
        <v>15</v>
      </c>
      <c r="P57" s="389"/>
      <c r="Q57" s="389"/>
      <c r="R57" s="389"/>
      <c r="S57" s="415">
        <v>20</v>
      </c>
      <c r="T57" s="523">
        <f t="shared" si="3"/>
        <v>5</v>
      </c>
      <c r="U57" s="524">
        <f t="shared" si="0"/>
        <v>8248.730964467004</v>
      </c>
    </row>
    <row r="58" spans="1:21" s="415" customFormat="1" ht="17.25" x14ac:dyDescent="0.3">
      <c r="A58" s="386">
        <v>51</v>
      </c>
      <c r="B58" s="387" t="s">
        <v>737</v>
      </c>
      <c r="C58" s="388">
        <v>2</v>
      </c>
      <c r="D58" s="389" t="s">
        <v>389</v>
      </c>
      <c r="E58" s="390">
        <v>220000</v>
      </c>
      <c r="F58" s="391">
        <f t="shared" si="1"/>
        <v>10152.284263959391</v>
      </c>
      <c r="G58" s="392">
        <v>15</v>
      </c>
      <c r="H58" s="389">
        <f>C58+G58</f>
        <v>17</v>
      </c>
      <c r="I58" s="389"/>
      <c r="J58" s="389"/>
      <c r="K58" s="389">
        <v>7</v>
      </c>
      <c r="L58" s="389"/>
      <c r="M58" s="389"/>
      <c r="N58" s="389">
        <v>1</v>
      </c>
      <c r="O58" s="389">
        <v>9</v>
      </c>
      <c r="P58" s="389"/>
      <c r="Q58" s="389"/>
      <c r="R58" s="389"/>
      <c r="S58" s="389"/>
      <c r="T58" s="523">
        <f t="shared" si="3"/>
        <v>0</v>
      </c>
      <c r="U58" s="524">
        <f t="shared" si="0"/>
        <v>0</v>
      </c>
    </row>
    <row r="59" spans="1:21" s="415" customFormat="1" ht="17.25" x14ac:dyDescent="0.3">
      <c r="A59" s="386">
        <v>52</v>
      </c>
      <c r="B59" s="394" t="s">
        <v>738</v>
      </c>
      <c r="C59" s="388">
        <v>30</v>
      </c>
      <c r="D59" s="389" t="s">
        <v>660</v>
      </c>
      <c r="E59" s="390">
        <v>220000</v>
      </c>
      <c r="F59" s="391">
        <f t="shared" si="1"/>
        <v>10152.284263959391</v>
      </c>
      <c r="G59" s="392">
        <v>30</v>
      </c>
      <c r="H59" s="389">
        <f t="shared" si="2"/>
        <v>60</v>
      </c>
      <c r="I59" s="389"/>
      <c r="J59" s="389"/>
      <c r="K59" s="389"/>
      <c r="L59" s="389">
        <v>15</v>
      </c>
      <c r="M59" s="389">
        <v>1</v>
      </c>
      <c r="N59" s="389"/>
      <c r="O59" s="389"/>
      <c r="P59" s="389"/>
      <c r="Q59" s="389">
        <v>3</v>
      </c>
      <c r="R59" s="389">
        <v>4</v>
      </c>
      <c r="S59" s="389">
        <v>2</v>
      </c>
      <c r="T59" s="523">
        <f t="shared" si="3"/>
        <v>35</v>
      </c>
      <c r="U59" s="524">
        <f t="shared" si="0"/>
        <v>355329.94923857867</v>
      </c>
    </row>
    <row r="60" spans="1:21" s="415" customFormat="1" ht="17.25" x14ac:dyDescent="0.3">
      <c r="A60" s="386">
        <v>53</v>
      </c>
      <c r="B60" s="387" t="s">
        <v>739</v>
      </c>
      <c r="C60" s="388">
        <v>0</v>
      </c>
      <c r="D60" s="389" t="s">
        <v>728</v>
      </c>
      <c r="E60" s="390">
        <v>45000</v>
      </c>
      <c r="F60" s="391">
        <f t="shared" si="1"/>
        <v>2076.6035994462391</v>
      </c>
      <c r="G60" s="392">
        <v>20</v>
      </c>
      <c r="H60" s="389">
        <f t="shared" si="2"/>
        <v>20</v>
      </c>
      <c r="I60" s="389"/>
      <c r="J60" s="389"/>
      <c r="K60" s="389"/>
      <c r="L60" s="389"/>
      <c r="M60" s="389">
        <v>15</v>
      </c>
      <c r="N60" s="389"/>
      <c r="O60" s="389"/>
      <c r="P60" s="389"/>
      <c r="Q60" s="389"/>
      <c r="R60" s="389"/>
      <c r="S60" s="389"/>
      <c r="T60" s="523">
        <f t="shared" si="3"/>
        <v>5</v>
      </c>
      <c r="U60" s="524">
        <f t="shared" si="0"/>
        <v>10383.017997231196</v>
      </c>
    </row>
    <row r="61" spans="1:21" s="415" customFormat="1" ht="17.25" x14ac:dyDescent="0.3">
      <c r="A61" s="386">
        <v>54</v>
      </c>
      <c r="B61" s="393" t="s">
        <v>740</v>
      </c>
      <c r="C61" s="396">
        <v>20</v>
      </c>
      <c r="D61" s="389" t="s">
        <v>666</v>
      </c>
      <c r="E61" s="390">
        <v>66000</v>
      </c>
      <c r="F61" s="391">
        <f t="shared" si="1"/>
        <v>3045.6852791878168</v>
      </c>
      <c r="G61" s="392">
        <v>25</v>
      </c>
      <c r="H61" s="389">
        <f t="shared" si="2"/>
        <v>45</v>
      </c>
      <c r="I61" s="389"/>
      <c r="J61" s="389"/>
      <c r="K61" s="389"/>
      <c r="L61" s="389"/>
      <c r="M61" s="389">
        <v>5</v>
      </c>
      <c r="N61" s="389">
        <v>20</v>
      </c>
      <c r="O61" s="389">
        <v>5</v>
      </c>
      <c r="P61" s="389"/>
      <c r="Q61" s="389"/>
      <c r="R61" s="389"/>
      <c r="S61" s="389">
        <v>2</v>
      </c>
      <c r="T61" s="523">
        <f t="shared" si="3"/>
        <v>13</v>
      </c>
      <c r="U61" s="524">
        <f t="shared" si="0"/>
        <v>39593.908629441619</v>
      </c>
    </row>
    <row r="62" spans="1:21" s="415" customFormat="1" ht="17.25" x14ac:dyDescent="0.3">
      <c r="A62" s="386">
        <v>55</v>
      </c>
      <c r="B62" s="393" t="s">
        <v>741</v>
      </c>
      <c r="C62" s="388">
        <v>0</v>
      </c>
      <c r="D62" s="389" t="s">
        <v>389</v>
      </c>
      <c r="E62" s="390">
        <v>132000</v>
      </c>
      <c r="F62" s="391">
        <f t="shared" si="1"/>
        <v>6091.3705583756337</v>
      </c>
      <c r="G62" s="392">
        <v>15</v>
      </c>
      <c r="H62" s="389">
        <f t="shared" si="2"/>
        <v>15</v>
      </c>
      <c r="I62" s="389">
        <v>5</v>
      </c>
      <c r="J62" s="389"/>
      <c r="K62" s="389"/>
      <c r="L62" s="389"/>
      <c r="M62" s="389"/>
      <c r="N62" s="389">
        <v>10</v>
      </c>
      <c r="O62" s="389"/>
      <c r="P62" s="389"/>
      <c r="Q62" s="389"/>
      <c r="R62" s="389"/>
      <c r="S62" s="389"/>
      <c r="T62" s="523">
        <f t="shared" si="3"/>
        <v>0</v>
      </c>
      <c r="U62" s="524">
        <f t="shared" si="0"/>
        <v>0</v>
      </c>
    </row>
    <row r="63" spans="1:21" s="415" customFormat="1" ht="17.25" x14ac:dyDescent="0.3">
      <c r="A63" s="386">
        <v>56</v>
      </c>
      <c r="B63" s="393" t="s">
        <v>742</v>
      </c>
      <c r="C63" s="388">
        <v>11</v>
      </c>
      <c r="D63" s="389" t="s">
        <v>743</v>
      </c>
      <c r="E63" s="390">
        <v>100000</v>
      </c>
      <c r="F63" s="391">
        <f t="shared" si="1"/>
        <v>4614.6746654360868</v>
      </c>
      <c r="G63" s="392">
        <v>25</v>
      </c>
      <c r="H63" s="389">
        <f t="shared" si="2"/>
        <v>36</v>
      </c>
      <c r="I63" s="389"/>
      <c r="J63" s="389"/>
      <c r="K63" s="389"/>
      <c r="L63" s="389">
        <v>7</v>
      </c>
      <c r="M63" s="389">
        <v>9</v>
      </c>
      <c r="N63" s="389"/>
      <c r="O63" s="389"/>
      <c r="P63" s="389"/>
      <c r="Q63" s="389"/>
      <c r="R63" s="389"/>
      <c r="S63" s="389"/>
      <c r="T63" s="523">
        <f t="shared" si="3"/>
        <v>20</v>
      </c>
      <c r="U63" s="524">
        <f t="shared" si="0"/>
        <v>92293.493308721736</v>
      </c>
    </row>
    <row r="64" spans="1:21" s="415" customFormat="1" ht="17.25" x14ac:dyDescent="0.3">
      <c r="A64" s="386">
        <v>57</v>
      </c>
      <c r="B64" s="387" t="s">
        <v>744</v>
      </c>
      <c r="C64" s="388">
        <v>0</v>
      </c>
      <c r="D64" s="389" t="s">
        <v>745</v>
      </c>
      <c r="E64" s="390">
        <v>27500</v>
      </c>
      <c r="F64" s="391">
        <f t="shared" si="1"/>
        <v>1269.0355329949239</v>
      </c>
      <c r="G64" s="392">
        <v>20</v>
      </c>
      <c r="H64" s="389">
        <f t="shared" si="2"/>
        <v>20</v>
      </c>
      <c r="I64" s="389"/>
      <c r="J64" s="389"/>
      <c r="K64" s="389"/>
      <c r="L64" s="389"/>
      <c r="M64" s="389">
        <v>5</v>
      </c>
      <c r="N64" s="389"/>
      <c r="O64" s="389">
        <v>6</v>
      </c>
      <c r="P64" s="389"/>
      <c r="Q64" s="389"/>
      <c r="R64" s="389"/>
      <c r="S64" s="389"/>
      <c r="T64" s="523">
        <f t="shared" si="3"/>
        <v>9</v>
      </c>
      <c r="U64" s="524">
        <f t="shared" si="0"/>
        <v>11421.319796954314</v>
      </c>
    </row>
    <row r="65" spans="1:21" s="415" customFormat="1" ht="17.25" x14ac:dyDescent="0.3">
      <c r="A65" s="386">
        <v>58</v>
      </c>
      <c r="B65" s="393" t="s">
        <v>746</v>
      </c>
      <c r="C65" s="388">
        <v>2</v>
      </c>
      <c r="D65" s="389" t="s">
        <v>705</v>
      </c>
      <c r="E65" s="390">
        <v>45000</v>
      </c>
      <c r="F65" s="391">
        <f t="shared" si="1"/>
        <v>2076.6035994462391</v>
      </c>
      <c r="G65" s="392">
        <v>15</v>
      </c>
      <c r="H65" s="389">
        <f t="shared" si="2"/>
        <v>17</v>
      </c>
      <c r="I65" s="389"/>
      <c r="J65" s="389"/>
      <c r="K65" s="389"/>
      <c r="L65" s="389"/>
      <c r="M65" s="389">
        <v>4</v>
      </c>
      <c r="N65" s="389"/>
      <c r="O65" s="389"/>
      <c r="P65" s="389"/>
      <c r="Q65" s="389"/>
      <c r="R65" s="389"/>
      <c r="S65" s="389"/>
      <c r="T65" s="523">
        <f t="shared" si="3"/>
        <v>13</v>
      </c>
      <c r="U65" s="524">
        <f t="shared" si="0"/>
        <v>26995.846792801109</v>
      </c>
    </row>
    <row r="66" spans="1:21" s="415" customFormat="1" ht="17.25" x14ac:dyDescent="0.3">
      <c r="A66" s="386">
        <v>59</v>
      </c>
      <c r="B66" s="393" t="s">
        <v>747</v>
      </c>
      <c r="C66" s="388">
        <v>5</v>
      </c>
      <c r="D66" s="389" t="s">
        <v>690</v>
      </c>
      <c r="E66" s="390">
        <v>27500</v>
      </c>
      <c r="F66" s="391">
        <f t="shared" si="1"/>
        <v>1269.0355329949239</v>
      </c>
      <c r="G66" s="392">
        <v>15</v>
      </c>
      <c r="H66" s="389">
        <f t="shared" si="2"/>
        <v>20</v>
      </c>
      <c r="I66" s="389">
        <v>5</v>
      </c>
      <c r="J66" s="389"/>
      <c r="K66" s="389"/>
      <c r="L66" s="389"/>
      <c r="M66" s="389"/>
      <c r="N66" s="389">
        <v>10</v>
      </c>
      <c r="O66" s="389"/>
      <c r="P66" s="389"/>
      <c r="Q66" s="389"/>
      <c r="R66" s="389"/>
      <c r="S66" s="389"/>
      <c r="T66" s="523">
        <f t="shared" si="3"/>
        <v>5</v>
      </c>
      <c r="U66" s="524">
        <f t="shared" si="0"/>
        <v>6345.1776649746189</v>
      </c>
    </row>
    <row r="67" spans="1:21" s="415" customFormat="1" ht="17.25" x14ac:dyDescent="0.3">
      <c r="A67" s="386">
        <v>60</v>
      </c>
      <c r="B67" s="389" t="s">
        <v>748</v>
      </c>
      <c r="C67" s="388">
        <v>15</v>
      </c>
      <c r="D67" s="389" t="s">
        <v>683</v>
      </c>
      <c r="E67" s="390">
        <v>85000</v>
      </c>
      <c r="F67" s="391">
        <f t="shared" si="1"/>
        <v>3922.4734656206733</v>
      </c>
      <c r="G67" s="392">
        <v>30</v>
      </c>
      <c r="H67" s="389">
        <f t="shared" si="2"/>
        <v>45</v>
      </c>
      <c r="I67" s="389"/>
      <c r="J67" s="389"/>
      <c r="K67" s="389"/>
      <c r="L67" s="389"/>
      <c r="M67" s="389"/>
      <c r="N67" s="389"/>
      <c r="O67" s="389">
        <v>15</v>
      </c>
      <c r="P67" s="389"/>
      <c r="Q67" s="389"/>
      <c r="R67" s="389"/>
      <c r="S67" s="389"/>
      <c r="T67" s="523">
        <f t="shared" si="3"/>
        <v>30</v>
      </c>
      <c r="U67" s="524">
        <f t="shared" si="0"/>
        <v>117674.2039686202</v>
      </c>
    </row>
    <row r="68" spans="1:21" s="415" customFormat="1" ht="17.25" x14ac:dyDescent="0.3">
      <c r="A68" s="386">
        <v>61</v>
      </c>
      <c r="B68" s="393" t="s">
        <v>749</v>
      </c>
      <c r="C68" s="388">
        <v>11</v>
      </c>
      <c r="D68" s="389" t="s">
        <v>750</v>
      </c>
      <c r="E68" s="390">
        <v>49500</v>
      </c>
      <c r="F68" s="391">
        <f t="shared" si="1"/>
        <v>2284.263959390863</v>
      </c>
      <c r="G68" s="392">
        <v>20</v>
      </c>
      <c r="H68" s="389">
        <f t="shared" si="2"/>
        <v>31</v>
      </c>
      <c r="I68" s="389"/>
      <c r="J68" s="389"/>
      <c r="K68" s="389"/>
      <c r="L68" s="389"/>
      <c r="M68" s="389">
        <v>11</v>
      </c>
      <c r="N68" s="389"/>
      <c r="O68" s="389"/>
      <c r="P68" s="389">
        <v>5</v>
      </c>
      <c r="Q68" s="389"/>
      <c r="R68" s="389"/>
      <c r="S68" s="389"/>
      <c r="T68" s="523">
        <f t="shared" si="3"/>
        <v>15</v>
      </c>
      <c r="U68" s="524">
        <f t="shared" si="0"/>
        <v>34263.959390862947</v>
      </c>
    </row>
    <row r="69" spans="1:21" s="415" customFormat="1" ht="17.25" x14ac:dyDescent="0.3">
      <c r="A69" s="386">
        <v>62</v>
      </c>
      <c r="B69" s="393" t="s">
        <v>751</v>
      </c>
      <c r="C69" s="388">
        <v>12</v>
      </c>
      <c r="D69" s="389" t="s">
        <v>752</v>
      </c>
      <c r="E69" s="390">
        <v>88000</v>
      </c>
      <c r="F69" s="391">
        <f t="shared" si="1"/>
        <v>4060.9137055837559</v>
      </c>
      <c r="G69" s="392">
        <v>30</v>
      </c>
      <c r="H69" s="389">
        <f t="shared" si="2"/>
        <v>42</v>
      </c>
      <c r="I69" s="389"/>
      <c r="J69" s="389"/>
      <c r="K69" s="389"/>
      <c r="L69" s="389"/>
      <c r="M69" s="389"/>
      <c r="N69" s="389"/>
      <c r="O69" s="389">
        <v>17</v>
      </c>
      <c r="P69" s="389"/>
      <c r="Q69" s="389"/>
      <c r="R69" s="389"/>
      <c r="S69" s="389"/>
      <c r="T69" s="523">
        <f t="shared" si="3"/>
        <v>25</v>
      </c>
      <c r="U69" s="524">
        <f t="shared" si="0"/>
        <v>101522.8426395939</v>
      </c>
    </row>
    <row r="70" spans="1:21" s="415" customFormat="1" ht="17.25" x14ac:dyDescent="0.3">
      <c r="A70" s="386">
        <v>63</v>
      </c>
      <c r="B70" s="393" t="s">
        <v>753</v>
      </c>
      <c r="C70" s="388">
        <v>0</v>
      </c>
      <c r="D70" s="389" t="s">
        <v>389</v>
      </c>
      <c r="E70" s="390">
        <v>220000</v>
      </c>
      <c r="F70" s="391">
        <f t="shared" si="1"/>
        <v>10152.284263959391</v>
      </c>
      <c r="G70" s="392">
        <v>15</v>
      </c>
      <c r="H70" s="389">
        <f t="shared" si="2"/>
        <v>15</v>
      </c>
      <c r="I70" s="389"/>
      <c r="J70" s="389"/>
      <c r="K70" s="389">
        <v>5</v>
      </c>
      <c r="L70" s="389"/>
      <c r="M70" s="389"/>
      <c r="N70" s="389"/>
      <c r="O70" s="389"/>
      <c r="P70" s="389"/>
      <c r="Q70" s="389"/>
      <c r="R70" s="389"/>
      <c r="S70" s="389"/>
      <c r="T70" s="523">
        <f t="shared" si="3"/>
        <v>10</v>
      </c>
      <c r="U70" s="524">
        <f t="shared" si="0"/>
        <v>101522.8426395939</v>
      </c>
    </row>
    <row r="71" spans="1:21" s="415" customFormat="1" ht="17.25" x14ac:dyDescent="0.3">
      <c r="A71" s="386">
        <v>64</v>
      </c>
      <c r="B71" s="394" t="s">
        <v>754</v>
      </c>
      <c r="C71" s="388">
        <v>11</v>
      </c>
      <c r="D71" s="389" t="s">
        <v>755</v>
      </c>
      <c r="E71" s="390">
        <v>180000</v>
      </c>
      <c r="F71" s="391">
        <f t="shared" si="1"/>
        <v>8306.4143977849562</v>
      </c>
      <c r="G71" s="392">
        <v>30</v>
      </c>
      <c r="H71" s="389">
        <f t="shared" si="2"/>
        <v>41</v>
      </c>
      <c r="I71" s="389"/>
      <c r="J71" s="389"/>
      <c r="K71" s="389"/>
      <c r="L71" s="389">
        <v>6</v>
      </c>
      <c r="M71" s="389">
        <v>5</v>
      </c>
      <c r="N71" s="389"/>
      <c r="O71" s="389"/>
      <c r="P71" s="389">
        <v>10</v>
      </c>
      <c r="Q71" s="389">
        <v>2</v>
      </c>
      <c r="R71" s="389"/>
      <c r="S71" s="389">
        <v>8</v>
      </c>
      <c r="T71" s="523">
        <f t="shared" si="3"/>
        <v>10</v>
      </c>
      <c r="U71" s="524">
        <f t="shared" si="0"/>
        <v>83064.14397784957</v>
      </c>
    </row>
    <row r="72" spans="1:21" s="415" customFormat="1" ht="17.25" x14ac:dyDescent="0.3">
      <c r="A72" s="386">
        <v>65</v>
      </c>
      <c r="B72" s="393" t="s">
        <v>756</v>
      </c>
      <c r="C72" s="397">
        <v>0</v>
      </c>
      <c r="D72" s="389" t="s">
        <v>677</v>
      </c>
      <c r="E72" s="390">
        <v>27500</v>
      </c>
      <c r="F72" s="391">
        <f t="shared" si="1"/>
        <v>1269.0355329949239</v>
      </c>
      <c r="G72" s="392">
        <v>15</v>
      </c>
      <c r="H72" s="389">
        <f t="shared" si="2"/>
        <v>15</v>
      </c>
      <c r="I72" s="389"/>
      <c r="J72" s="389"/>
      <c r="K72" s="389"/>
      <c r="L72" s="389"/>
      <c r="M72" s="389"/>
      <c r="N72" s="389"/>
      <c r="O72" s="389"/>
      <c r="P72" s="389">
        <v>15</v>
      </c>
      <c r="Q72" s="389"/>
      <c r="R72" s="389"/>
      <c r="S72" s="389"/>
      <c r="T72" s="523">
        <f t="shared" si="3"/>
        <v>0</v>
      </c>
      <c r="U72" s="524">
        <f t="shared" ref="U72:U92" si="4">F72*T72</f>
        <v>0</v>
      </c>
    </row>
    <row r="73" spans="1:21" s="415" customFormat="1" ht="17.25" x14ac:dyDescent="0.3">
      <c r="A73" s="386">
        <v>66</v>
      </c>
      <c r="B73" s="393" t="s">
        <v>757</v>
      </c>
      <c r="C73" s="388">
        <v>15</v>
      </c>
      <c r="D73" s="389" t="s">
        <v>666</v>
      </c>
      <c r="E73" s="390">
        <v>66000</v>
      </c>
      <c r="F73" s="391">
        <f t="shared" ref="F73:F92" si="5">E73/21.67</f>
        <v>3045.6852791878168</v>
      </c>
      <c r="G73" s="392">
        <v>15</v>
      </c>
      <c r="H73" s="389">
        <f t="shared" ref="H73:H92" si="6">C73+G73</f>
        <v>30</v>
      </c>
      <c r="I73" s="389"/>
      <c r="J73" s="389"/>
      <c r="K73" s="389"/>
      <c r="L73" s="389"/>
      <c r="M73" s="389"/>
      <c r="N73" s="389">
        <v>19</v>
      </c>
      <c r="O73" s="389"/>
      <c r="P73" s="389"/>
      <c r="Q73" s="389"/>
      <c r="R73" s="389"/>
      <c r="S73" s="389">
        <v>4</v>
      </c>
      <c r="T73" s="523">
        <f t="shared" ref="T73:T92" si="7">H73-I73-J73-K73-L73-M73-N73-O73-P73-Q73-R73-S73</f>
        <v>7</v>
      </c>
      <c r="U73" s="524">
        <f t="shared" si="4"/>
        <v>21319.796954314719</v>
      </c>
    </row>
    <row r="74" spans="1:21" s="415" customFormat="1" ht="17.25" x14ac:dyDescent="0.3">
      <c r="A74" s="386">
        <v>67</v>
      </c>
      <c r="B74" s="393" t="s">
        <v>758</v>
      </c>
      <c r="C74" s="397">
        <v>0</v>
      </c>
      <c r="D74" s="389" t="s">
        <v>759</v>
      </c>
      <c r="E74" s="390">
        <v>25000</v>
      </c>
      <c r="F74" s="391">
        <f t="shared" si="5"/>
        <v>1153.6686663590217</v>
      </c>
      <c r="G74" s="392">
        <v>15</v>
      </c>
      <c r="H74" s="389">
        <f t="shared" si="6"/>
        <v>15</v>
      </c>
      <c r="I74" s="389"/>
      <c r="J74" s="389"/>
      <c r="K74" s="389"/>
      <c r="L74" s="389">
        <v>15</v>
      </c>
      <c r="M74" s="389"/>
      <c r="N74" s="389"/>
      <c r="O74" s="389"/>
      <c r="P74" s="389"/>
      <c r="Q74" s="389"/>
      <c r="R74" s="389"/>
      <c r="S74" s="389"/>
      <c r="T74" s="523">
        <f t="shared" si="7"/>
        <v>0</v>
      </c>
      <c r="U74" s="524">
        <f t="shared" si="4"/>
        <v>0</v>
      </c>
    </row>
    <row r="75" spans="1:21" s="415" customFormat="1" ht="17.25" x14ac:dyDescent="0.3">
      <c r="A75" s="386">
        <v>68</v>
      </c>
      <c r="B75" s="393" t="s">
        <v>760</v>
      </c>
      <c r="C75" s="397">
        <v>15</v>
      </c>
      <c r="D75" s="389" t="s">
        <v>761</v>
      </c>
      <c r="E75" s="390">
        <v>35750</v>
      </c>
      <c r="F75" s="391">
        <f t="shared" si="5"/>
        <v>1649.7461928934008</v>
      </c>
      <c r="G75" s="392">
        <v>20</v>
      </c>
      <c r="H75" s="389">
        <f t="shared" si="6"/>
        <v>35</v>
      </c>
      <c r="I75" s="389">
        <v>20</v>
      </c>
      <c r="J75" s="389"/>
      <c r="K75" s="389"/>
      <c r="L75" s="389">
        <v>6</v>
      </c>
      <c r="M75" s="389"/>
      <c r="N75" s="389"/>
      <c r="O75" s="389"/>
      <c r="P75" s="389"/>
      <c r="Q75" s="389"/>
      <c r="R75" s="389"/>
      <c r="S75" s="389"/>
      <c r="T75" s="523">
        <f t="shared" si="7"/>
        <v>9</v>
      </c>
      <c r="U75" s="524">
        <f t="shared" si="4"/>
        <v>14847.715736040607</v>
      </c>
    </row>
    <row r="76" spans="1:21" s="415" customFormat="1" ht="17.25" x14ac:dyDescent="0.3">
      <c r="A76" s="386">
        <v>69</v>
      </c>
      <c r="B76" s="393" t="s">
        <v>762</v>
      </c>
      <c r="C76" s="397">
        <v>0</v>
      </c>
      <c r="D76" s="389" t="s">
        <v>728</v>
      </c>
      <c r="E76" s="390">
        <v>49500</v>
      </c>
      <c r="F76" s="391">
        <f t="shared" si="5"/>
        <v>2284.263959390863</v>
      </c>
      <c r="G76" s="392">
        <v>15</v>
      </c>
      <c r="H76" s="389">
        <f t="shared" si="6"/>
        <v>15</v>
      </c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523">
        <f t="shared" si="7"/>
        <v>15</v>
      </c>
      <c r="U76" s="524">
        <f t="shared" si="4"/>
        <v>34263.959390862947</v>
      </c>
    </row>
    <row r="77" spans="1:21" s="415" customFormat="1" ht="17.25" x14ac:dyDescent="0.3">
      <c r="A77" s="386">
        <v>70</v>
      </c>
      <c r="B77" s="387" t="s">
        <v>763</v>
      </c>
      <c r="C77" s="397">
        <v>0</v>
      </c>
      <c r="D77" s="389" t="s">
        <v>671</v>
      </c>
      <c r="E77" s="390">
        <v>22000</v>
      </c>
      <c r="F77" s="391">
        <f t="shared" si="5"/>
        <v>1015.228426395939</v>
      </c>
      <c r="G77" s="392">
        <v>30</v>
      </c>
      <c r="H77" s="389">
        <f t="shared" si="6"/>
        <v>30</v>
      </c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523">
        <f t="shared" si="7"/>
        <v>30</v>
      </c>
      <c r="U77" s="524">
        <f t="shared" si="4"/>
        <v>30456.852791878169</v>
      </c>
    </row>
    <row r="78" spans="1:21" s="415" customFormat="1" ht="17.25" x14ac:dyDescent="0.3">
      <c r="A78" s="386">
        <v>71</v>
      </c>
      <c r="B78" s="393" t="s">
        <v>764</v>
      </c>
      <c r="C78" s="397">
        <v>0</v>
      </c>
      <c r="D78" s="389" t="s">
        <v>745</v>
      </c>
      <c r="E78" s="390">
        <v>29370</v>
      </c>
      <c r="F78" s="391">
        <f t="shared" si="5"/>
        <v>1355.3299492385786</v>
      </c>
      <c r="G78" s="392">
        <v>25</v>
      </c>
      <c r="H78" s="389">
        <f t="shared" si="6"/>
        <v>25</v>
      </c>
      <c r="I78" s="389">
        <v>25</v>
      </c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523">
        <f t="shared" si="7"/>
        <v>0</v>
      </c>
      <c r="U78" s="524">
        <f t="shared" si="4"/>
        <v>0</v>
      </c>
    </row>
    <row r="79" spans="1:21" s="415" customFormat="1" ht="17.25" x14ac:dyDescent="0.3">
      <c r="A79" s="386">
        <v>72</v>
      </c>
      <c r="B79" s="393" t="s">
        <v>765</v>
      </c>
      <c r="C79" s="397">
        <v>28</v>
      </c>
      <c r="D79" s="389" t="s">
        <v>728</v>
      </c>
      <c r="E79" s="390">
        <v>45000</v>
      </c>
      <c r="F79" s="391">
        <f t="shared" si="5"/>
        <v>2076.6035994462391</v>
      </c>
      <c r="G79" s="392">
        <v>30</v>
      </c>
      <c r="H79" s="389">
        <f t="shared" si="6"/>
        <v>58</v>
      </c>
      <c r="I79" s="389"/>
      <c r="J79" s="389"/>
      <c r="K79" s="389"/>
      <c r="L79" s="389"/>
      <c r="M79" s="389"/>
      <c r="N79" s="389"/>
      <c r="O79" s="389"/>
      <c r="P79" s="389"/>
      <c r="Q79" s="389">
        <v>20</v>
      </c>
      <c r="R79" s="389"/>
      <c r="S79" s="389"/>
      <c r="T79" s="523">
        <f t="shared" si="7"/>
        <v>38</v>
      </c>
      <c r="U79" s="524">
        <f t="shared" si="4"/>
        <v>78910.936778957082</v>
      </c>
    </row>
    <row r="80" spans="1:21" s="415" customFormat="1" ht="17.25" x14ac:dyDescent="0.3">
      <c r="A80" s="386">
        <v>73</v>
      </c>
      <c r="B80" s="393" t="s">
        <v>766</v>
      </c>
      <c r="C80" s="397">
        <v>0</v>
      </c>
      <c r="D80" s="389" t="s">
        <v>745</v>
      </c>
      <c r="E80" s="390">
        <v>27500</v>
      </c>
      <c r="F80" s="391">
        <f t="shared" si="5"/>
        <v>1269.0355329949239</v>
      </c>
      <c r="G80" s="392">
        <v>15</v>
      </c>
      <c r="H80" s="389">
        <f t="shared" si="6"/>
        <v>15</v>
      </c>
      <c r="I80" s="389"/>
      <c r="J80" s="389"/>
      <c r="K80" s="389"/>
      <c r="L80" s="389"/>
      <c r="M80" s="389"/>
      <c r="N80" s="389"/>
      <c r="O80" s="389">
        <v>15</v>
      </c>
      <c r="P80" s="389"/>
      <c r="Q80" s="389"/>
      <c r="R80" s="389"/>
      <c r="S80" s="389"/>
      <c r="T80" s="523">
        <f t="shared" si="7"/>
        <v>0</v>
      </c>
      <c r="U80" s="524">
        <f t="shared" si="4"/>
        <v>0</v>
      </c>
    </row>
    <row r="81" spans="1:21" s="415" customFormat="1" ht="17.25" x14ac:dyDescent="0.3">
      <c r="A81" s="386">
        <v>74</v>
      </c>
      <c r="B81" s="394" t="s">
        <v>767</v>
      </c>
      <c r="C81" s="388">
        <v>10</v>
      </c>
      <c r="D81" s="389" t="s">
        <v>768</v>
      </c>
      <c r="E81" s="390">
        <v>380000</v>
      </c>
      <c r="F81" s="391">
        <f t="shared" si="5"/>
        <v>17535.76372865713</v>
      </c>
      <c r="G81" s="392">
        <v>30</v>
      </c>
      <c r="H81" s="389">
        <f t="shared" si="6"/>
        <v>40</v>
      </c>
      <c r="I81" s="389"/>
      <c r="J81" s="389">
        <v>3</v>
      </c>
      <c r="K81" s="389">
        <v>3</v>
      </c>
      <c r="L81" s="389"/>
      <c r="M81" s="389">
        <v>4</v>
      </c>
      <c r="N81" s="389"/>
      <c r="O81" s="389">
        <v>5</v>
      </c>
      <c r="P81" s="389">
        <v>2</v>
      </c>
      <c r="Q81" s="389">
        <v>3</v>
      </c>
      <c r="R81" s="389">
        <v>10</v>
      </c>
      <c r="S81" s="389"/>
      <c r="T81" s="523">
        <f t="shared" si="7"/>
        <v>10</v>
      </c>
      <c r="U81" s="524">
        <f t="shared" si="4"/>
        <v>175357.63728657129</v>
      </c>
    </row>
    <row r="82" spans="1:21" s="415" customFormat="1" ht="15.75" customHeight="1" x14ac:dyDescent="0.3">
      <c r="A82" s="386">
        <v>75</v>
      </c>
      <c r="B82" s="393" t="s">
        <v>769</v>
      </c>
      <c r="C82" s="388">
        <v>6</v>
      </c>
      <c r="D82" s="389" t="s">
        <v>389</v>
      </c>
      <c r="E82" s="390">
        <v>120000</v>
      </c>
      <c r="F82" s="391">
        <f t="shared" si="5"/>
        <v>5537.6095985233032</v>
      </c>
      <c r="G82" s="392">
        <v>30</v>
      </c>
      <c r="H82" s="389">
        <f t="shared" si="6"/>
        <v>36</v>
      </c>
      <c r="I82" s="389"/>
      <c r="J82" s="389"/>
      <c r="K82" s="389">
        <v>15</v>
      </c>
      <c r="L82" s="389"/>
      <c r="M82" s="389"/>
      <c r="N82" s="389"/>
      <c r="O82" s="389"/>
      <c r="P82" s="389">
        <v>15</v>
      </c>
      <c r="Q82" s="389"/>
      <c r="R82" s="389"/>
      <c r="S82" s="389"/>
      <c r="T82" s="523">
        <f t="shared" si="7"/>
        <v>6</v>
      </c>
      <c r="U82" s="524">
        <f t="shared" si="4"/>
        <v>33225.657591139818</v>
      </c>
    </row>
    <row r="83" spans="1:21" s="415" customFormat="1" ht="17.25" x14ac:dyDescent="0.3">
      <c r="A83" s="386">
        <v>76</v>
      </c>
      <c r="B83" s="394" t="s">
        <v>770</v>
      </c>
      <c r="C83" s="388">
        <v>10</v>
      </c>
      <c r="D83" s="389" t="s">
        <v>666</v>
      </c>
      <c r="E83" s="390">
        <v>66000</v>
      </c>
      <c r="F83" s="391">
        <f t="shared" si="5"/>
        <v>3045.6852791878168</v>
      </c>
      <c r="G83" s="392">
        <v>30</v>
      </c>
      <c r="H83" s="389">
        <f t="shared" si="6"/>
        <v>40</v>
      </c>
      <c r="I83" s="389"/>
      <c r="J83" s="389"/>
      <c r="K83" s="389"/>
      <c r="L83" s="389">
        <v>15</v>
      </c>
      <c r="M83" s="389"/>
      <c r="N83" s="389"/>
      <c r="O83" s="389"/>
      <c r="P83" s="389">
        <v>5</v>
      </c>
      <c r="Q83" s="389"/>
      <c r="R83" s="389"/>
      <c r="S83" s="389"/>
      <c r="T83" s="523">
        <f t="shared" si="7"/>
        <v>20</v>
      </c>
      <c r="U83" s="524">
        <f t="shared" si="4"/>
        <v>60913.705583756338</v>
      </c>
    </row>
    <row r="84" spans="1:21" s="415" customFormat="1" ht="17.25" x14ac:dyDescent="0.3">
      <c r="A84" s="386">
        <v>77</v>
      </c>
      <c r="B84" s="394" t="s">
        <v>771</v>
      </c>
      <c r="C84" s="388">
        <v>0</v>
      </c>
      <c r="D84" s="389" t="s">
        <v>671</v>
      </c>
      <c r="E84" s="390">
        <v>20000</v>
      </c>
      <c r="F84" s="391">
        <f t="shared" si="5"/>
        <v>922.93493308721725</v>
      </c>
      <c r="G84" s="392">
        <v>15</v>
      </c>
      <c r="H84" s="389">
        <f t="shared" si="6"/>
        <v>15</v>
      </c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523">
        <f t="shared" si="7"/>
        <v>15</v>
      </c>
      <c r="U84" s="524">
        <f t="shared" si="4"/>
        <v>13844.023996308259</v>
      </c>
    </row>
    <row r="85" spans="1:21" s="415" customFormat="1" ht="17.25" x14ac:dyDescent="0.3">
      <c r="A85" s="386">
        <v>78</v>
      </c>
      <c r="B85" s="394" t="s">
        <v>772</v>
      </c>
      <c r="C85" s="388">
        <v>15</v>
      </c>
      <c r="D85" s="389" t="s">
        <v>773</v>
      </c>
      <c r="E85" s="390">
        <v>100000</v>
      </c>
      <c r="F85" s="391">
        <f t="shared" si="5"/>
        <v>4614.6746654360868</v>
      </c>
      <c r="G85" s="392">
        <v>25</v>
      </c>
      <c r="H85" s="389">
        <f t="shared" si="6"/>
        <v>40</v>
      </c>
      <c r="I85" s="389">
        <v>10</v>
      </c>
      <c r="J85" s="389"/>
      <c r="K85" s="389">
        <v>10</v>
      </c>
      <c r="L85" s="389"/>
      <c r="M85" s="389"/>
      <c r="N85" s="389"/>
      <c r="O85" s="389"/>
      <c r="P85" s="389"/>
      <c r="Q85" s="389">
        <v>15</v>
      </c>
      <c r="R85" s="389"/>
      <c r="S85" s="389"/>
      <c r="T85" s="523">
        <f t="shared" si="7"/>
        <v>5</v>
      </c>
      <c r="U85" s="524">
        <f t="shared" si="4"/>
        <v>23073.373327180434</v>
      </c>
    </row>
    <row r="86" spans="1:21" s="415" customFormat="1" ht="17.25" x14ac:dyDescent="0.3">
      <c r="A86" s="386">
        <v>79</v>
      </c>
      <c r="B86" s="393" t="s">
        <v>774</v>
      </c>
      <c r="C86" s="388">
        <v>25</v>
      </c>
      <c r="D86" s="389" t="s">
        <v>712</v>
      </c>
      <c r="E86" s="390">
        <v>66000</v>
      </c>
      <c r="F86" s="391">
        <f t="shared" si="5"/>
        <v>3045.6852791878168</v>
      </c>
      <c r="G86" s="392">
        <v>30</v>
      </c>
      <c r="H86" s="389">
        <f t="shared" si="6"/>
        <v>55</v>
      </c>
      <c r="I86" s="389"/>
      <c r="J86" s="389"/>
      <c r="K86" s="389"/>
      <c r="L86" s="389">
        <v>15</v>
      </c>
      <c r="M86" s="389"/>
      <c r="N86" s="389"/>
      <c r="O86" s="389">
        <v>10</v>
      </c>
      <c r="P86" s="389"/>
      <c r="Q86" s="389"/>
      <c r="R86" s="389"/>
      <c r="S86" s="389"/>
      <c r="T86" s="523">
        <f t="shared" si="7"/>
        <v>30</v>
      </c>
      <c r="U86" s="524">
        <f t="shared" si="4"/>
        <v>91370.5583756345</v>
      </c>
    </row>
    <row r="87" spans="1:21" s="415" customFormat="1" ht="17.25" x14ac:dyDescent="0.3">
      <c r="A87" s="386">
        <v>80</v>
      </c>
      <c r="B87" s="393" t="s">
        <v>775</v>
      </c>
      <c r="C87" s="388">
        <v>13</v>
      </c>
      <c r="D87" s="389" t="s">
        <v>776</v>
      </c>
      <c r="E87" s="390">
        <v>170000</v>
      </c>
      <c r="F87" s="391">
        <f t="shared" si="5"/>
        <v>7844.9469312413466</v>
      </c>
      <c r="G87" s="392">
        <v>30</v>
      </c>
      <c r="H87" s="389">
        <f t="shared" si="6"/>
        <v>43</v>
      </c>
      <c r="I87" s="389"/>
      <c r="J87" s="389"/>
      <c r="K87" s="389">
        <v>3</v>
      </c>
      <c r="L87" s="389"/>
      <c r="M87" s="389">
        <v>15</v>
      </c>
      <c r="N87" s="389"/>
      <c r="O87" s="389">
        <v>10</v>
      </c>
      <c r="P87" s="389"/>
      <c r="Q87" s="389"/>
      <c r="R87" s="389"/>
      <c r="S87" s="389"/>
      <c r="T87" s="523">
        <f t="shared" si="7"/>
        <v>15</v>
      </c>
      <c r="U87" s="524">
        <f t="shared" si="4"/>
        <v>117674.2039686202</v>
      </c>
    </row>
    <row r="88" spans="1:21" s="415" customFormat="1" ht="17.25" x14ac:dyDescent="0.3">
      <c r="A88" s="386">
        <v>81</v>
      </c>
      <c r="B88" s="393" t="s">
        <v>777</v>
      </c>
      <c r="C88" s="388">
        <v>6</v>
      </c>
      <c r="D88" s="389" t="s">
        <v>671</v>
      </c>
      <c r="E88" s="390">
        <v>22000</v>
      </c>
      <c r="F88" s="391">
        <f t="shared" si="5"/>
        <v>1015.228426395939</v>
      </c>
      <c r="G88" s="392">
        <v>15</v>
      </c>
      <c r="H88" s="389">
        <f t="shared" si="6"/>
        <v>21</v>
      </c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523">
        <f t="shared" si="7"/>
        <v>21</v>
      </c>
      <c r="U88" s="524">
        <f t="shared" si="4"/>
        <v>21319.796954314719</v>
      </c>
    </row>
    <row r="89" spans="1:21" s="415" customFormat="1" ht="17.25" x14ac:dyDescent="0.3">
      <c r="A89" s="386">
        <v>82</v>
      </c>
      <c r="B89" s="393" t="s">
        <v>778</v>
      </c>
      <c r="C89" s="388">
        <v>15</v>
      </c>
      <c r="D89" s="389" t="s">
        <v>389</v>
      </c>
      <c r="E89" s="390">
        <v>115000</v>
      </c>
      <c r="F89" s="391">
        <f t="shared" si="5"/>
        <v>5306.8758652514989</v>
      </c>
      <c r="G89" s="392">
        <v>20</v>
      </c>
      <c r="H89" s="389">
        <f t="shared" si="6"/>
        <v>35</v>
      </c>
      <c r="I89" s="389"/>
      <c r="J89" s="389"/>
      <c r="K89" s="389">
        <v>10</v>
      </c>
      <c r="L89" s="389"/>
      <c r="M89" s="389"/>
      <c r="N89" s="389">
        <v>6</v>
      </c>
      <c r="O89" s="389"/>
      <c r="P89" s="389"/>
      <c r="Q89" s="389"/>
      <c r="R89" s="389">
        <v>11</v>
      </c>
      <c r="S89" s="389">
        <v>7</v>
      </c>
      <c r="T89" s="523">
        <f t="shared" si="7"/>
        <v>1</v>
      </c>
      <c r="U89" s="524">
        <f t="shared" si="4"/>
        <v>5306.8758652514989</v>
      </c>
    </row>
    <row r="90" spans="1:21" s="415" customFormat="1" ht="17.25" x14ac:dyDescent="0.3">
      <c r="A90" s="386">
        <v>83</v>
      </c>
      <c r="B90" s="394" t="s">
        <v>779</v>
      </c>
      <c r="C90" s="388">
        <v>10</v>
      </c>
      <c r="D90" s="389" t="s">
        <v>677</v>
      </c>
      <c r="E90" s="390">
        <v>27500</v>
      </c>
      <c r="F90" s="391">
        <f t="shared" si="5"/>
        <v>1269.0355329949239</v>
      </c>
      <c r="G90" s="392">
        <v>30</v>
      </c>
      <c r="H90" s="389">
        <f t="shared" si="6"/>
        <v>40</v>
      </c>
      <c r="I90" s="389">
        <v>7</v>
      </c>
      <c r="J90" s="389"/>
      <c r="K90" s="389"/>
      <c r="L90" s="389">
        <v>3</v>
      </c>
      <c r="M90" s="389"/>
      <c r="N90" s="389"/>
      <c r="O90" s="389">
        <v>15</v>
      </c>
      <c r="P90" s="389"/>
      <c r="Q90" s="389"/>
      <c r="R90" s="389"/>
      <c r="S90" s="389"/>
      <c r="T90" s="523">
        <f t="shared" si="7"/>
        <v>15</v>
      </c>
      <c r="U90" s="524">
        <f t="shared" si="4"/>
        <v>19035.532994923858</v>
      </c>
    </row>
    <row r="91" spans="1:21" s="415" customFormat="1" ht="17.25" x14ac:dyDescent="0.3">
      <c r="A91" s="386">
        <v>84</v>
      </c>
      <c r="B91" s="394" t="s">
        <v>780</v>
      </c>
      <c r="C91" s="388">
        <v>0</v>
      </c>
      <c r="D91" s="389" t="s">
        <v>710</v>
      </c>
      <c r="E91" s="390">
        <v>22000</v>
      </c>
      <c r="F91" s="391">
        <f t="shared" si="5"/>
        <v>1015.228426395939</v>
      </c>
      <c r="G91" s="392">
        <v>15</v>
      </c>
      <c r="H91" s="389">
        <f t="shared" si="6"/>
        <v>15</v>
      </c>
      <c r="I91" s="389"/>
      <c r="J91" s="389"/>
      <c r="K91" s="389"/>
      <c r="L91" s="389"/>
      <c r="M91" s="389"/>
      <c r="N91" s="389"/>
      <c r="O91" s="389"/>
      <c r="P91" s="389"/>
      <c r="Q91" s="389">
        <v>6</v>
      </c>
      <c r="R91" s="389"/>
      <c r="S91" s="389"/>
      <c r="T91" s="523">
        <f t="shared" si="7"/>
        <v>9</v>
      </c>
      <c r="U91" s="524">
        <f t="shared" si="4"/>
        <v>9137.05583756345</v>
      </c>
    </row>
    <row r="92" spans="1:21" s="415" customFormat="1" ht="17.25" x14ac:dyDescent="0.3">
      <c r="A92" s="386">
        <v>85</v>
      </c>
      <c r="B92" s="387" t="s">
        <v>781</v>
      </c>
      <c r="C92" s="388">
        <v>9</v>
      </c>
      <c r="D92" s="389" t="s">
        <v>666</v>
      </c>
      <c r="E92" s="390">
        <v>80000</v>
      </c>
      <c r="F92" s="391">
        <f t="shared" si="5"/>
        <v>3691.739732348869</v>
      </c>
      <c r="G92" s="392">
        <v>25</v>
      </c>
      <c r="H92" s="389">
        <f t="shared" si="6"/>
        <v>34</v>
      </c>
      <c r="I92" s="389">
        <v>2</v>
      </c>
      <c r="J92" s="389"/>
      <c r="K92" s="389"/>
      <c r="L92" s="389"/>
      <c r="M92" s="389"/>
      <c r="N92" s="389">
        <v>2</v>
      </c>
      <c r="O92" s="389">
        <v>10</v>
      </c>
      <c r="P92" s="389"/>
      <c r="Q92" s="389">
        <v>19</v>
      </c>
      <c r="R92" s="389"/>
      <c r="S92" s="389"/>
      <c r="T92" s="523">
        <f t="shared" si="7"/>
        <v>1</v>
      </c>
      <c r="U92" s="524">
        <f t="shared" si="4"/>
        <v>3691.739732348869</v>
      </c>
    </row>
    <row r="93" spans="1:21" ht="17.25" x14ac:dyDescent="0.3">
      <c r="A93"/>
      <c r="H93" s="415"/>
      <c r="I93" s="415"/>
      <c r="J93" s="415"/>
      <c r="K93" s="415"/>
      <c r="L93" s="415"/>
      <c r="M93" s="415"/>
      <c r="N93" s="415"/>
      <c r="O93" s="415"/>
      <c r="P93" s="415"/>
      <c r="Q93" s="415"/>
      <c r="R93" s="415"/>
      <c r="S93" s="415"/>
      <c r="T93" s="525"/>
      <c r="U93" s="526">
        <f>SUM(U8:U92)</f>
        <v>5356114.4439317044</v>
      </c>
    </row>
    <row r="94" spans="1:21" ht="16.5" x14ac:dyDescent="0.25">
      <c r="T94" s="527"/>
      <c r="U94" s="527"/>
    </row>
    <row r="95" spans="1:21" ht="16.5" x14ac:dyDescent="0.25">
      <c r="B95"/>
      <c r="T95" s="527"/>
      <c r="U95" s="528" t="s">
        <v>849</v>
      </c>
    </row>
    <row r="96" spans="1:21" ht="16.5" x14ac:dyDescent="0.25">
      <c r="B96"/>
      <c r="T96" s="531" t="s">
        <v>850</v>
      </c>
      <c r="U96" s="529">
        <f>+U93/12</f>
        <v>446342.87032764201</v>
      </c>
    </row>
    <row r="97" spans="1:40" s="416" customFormat="1" ht="16.5" x14ac:dyDescent="0.25">
      <c r="A97" s="404"/>
      <c r="B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 s="527"/>
      <c r="U97" s="52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s="416" customFormat="1" ht="16.5" x14ac:dyDescent="0.25">
      <c r="A98" s="404"/>
      <c r="B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 s="531" t="s">
        <v>851</v>
      </c>
      <c r="U98" s="530">
        <v>880295.85</v>
      </c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s="416" customFormat="1" ht="16.5" x14ac:dyDescent="0.25">
      <c r="A99" s="404"/>
      <c r="B99" s="408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 s="531" t="s">
        <v>823</v>
      </c>
      <c r="U99" s="529">
        <f>+U96-U98</f>
        <v>-433952.97967235796</v>
      </c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s="416" customFormat="1" x14ac:dyDescent="0.2">
      <c r="A100" s="404"/>
      <c r="B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s="416" customFormat="1" x14ac:dyDescent="0.25">
      <c r="A101" s="404"/>
      <c r="B101" s="408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s="416" customFormat="1" x14ac:dyDescent="0.25">
      <c r="A102" s="404"/>
      <c r="B102" s="408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s="416" customFormat="1" x14ac:dyDescent="0.25">
      <c r="A103" s="404"/>
      <c r="B103" s="408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s="416" customFormat="1" x14ac:dyDescent="0.25">
      <c r="A104" s="404"/>
      <c r="B104" s="408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</sheetData>
  <conditionalFormatting sqref="C9:C13 C15 C19:C20 C22:C24 C26:C27 C29 C31:C34 C38:C39 C42 C44 C48:C49 C51:C59 C61 C63:C65 C67:C69 C71 C73 C81:C92">
    <cfRule type="cellIs" dxfId="0" priority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scale="45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I268"/>
  <sheetViews>
    <sheetView topLeftCell="A111" zoomScale="90" zoomScaleNormal="90" zoomScaleSheetLayoutView="80" workbookViewId="0">
      <selection activeCell="D126" sqref="D126"/>
    </sheetView>
  </sheetViews>
  <sheetFormatPr baseColWidth="10" defaultColWidth="11.5703125" defaultRowHeight="15.75" x14ac:dyDescent="0.25"/>
  <cols>
    <col min="1" max="1" width="3.7109375" style="1" customWidth="1"/>
    <col min="2" max="2" width="68.140625" style="1" customWidth="1"/>
    <col min="3" max="3" width="12.140625" style="19" customWidth="1"/>
    <col min="4" max="5" width="28.7109375" style="2" customWidth="1"/>
    <col min="6" max="6" width="24.7109375" style="2" bestFit="1" customWidth="1"/>
    <col min="7" max="7" width="11.5703125" style="1"/>
    <col min="8" max="8" width="20.28515625" style="2" bestFit="1" customWidth="1"/>
    <col min="9" max="16384" width="11.5703125" style="1"/>
  </cols>
  <sheetData>
    <row r="1" spans="2:6" x14ac:dyDescent="0.25">
      <c r="B1" s="46"/>
      <c r="C1" s="47"/>
      <c r="D1" s="48"/>
      <c r="E1" s="48"/>
      <c r="F1" s="48"/>
    </row>
    <row r="2" spans="2:6" x14ac:dyDescent="0.25">
      <c r="D2" s="1"/>
      <c r="E2" s="1"/>
      <c r="F2" s="1"/>
    </row>
    <row r="3" spans="2:6" x14ac:dyDescent="0.25">
      <c r="D3" s="1"/>
      <c r="E3" s="1"/>
      <c r="F3" s="1"/>
    </row>
    <row r="4" spans="2:6" x14ac:dyDescent="0.25">
      <c r="D4" s="1"/>
      <c r="E4" s="1"/>
      <c r="F4" s="1"/>
    </row>
    <row r="5" spans="2:6" x14ac:dyDescent="0.25">
      <c r="D5" s="1"/>
      <c r="E5" s="1"/>
      <c r="F5" s="1"/>
    </row>
    <row r="6" spans="2:6" ht="24.75" customHeight="1" x14ac:dyDescent="0.25">
      <c r="B6" s="16" t="s">
        <v>65</v>
      </c>
      <c r="C6" s="50"/>
      <c r="D6" s="16"/>
      <c r="E6" s="16"/>
      <c r="F6" s="16"/>
    </row>
    <row r="7" spans="2:6" ht="24.75" customHeight="1" x14ac:dyDescent="0.25">
      <c r="B7" s="16" t="s">
        <v>848</v>
      </c>
      <c r="C7" s="50"/>
      <c r="D7" s="16"/>
      <c r="E7" s="16"/>
      <c r="F7" s="16"/>
    </row>
    <row r="8" spans="2:6" ht="24.75" customHeight="1" x14ac:dyDescent="0.25">
      <c r="B8" s="16" t="s">
        <v>66</v>
      </c>
      <c r="C8" s="50"/>
      <c r="D8" s="16"/>
      <c r="E8" s="16"/>
      <c r="F8" s="16"/>
    </row>
    <row r="9" spans="2:6" ht="24.75" customHeight="1" x14ac:dyDescent="0.25">
      <c r="B9" s="16"/>
      <c r="C9" s="326" t="s">
        <v>4</v>
      </c>
      <c r="D9" s="326" t="s">
        <v>5</v>
      </c>
      <c r="E9" s="326" t="s">
        <v>6</v>
      </c>
      <c r="F9" s="326" t="s">
        <v>7</v>
      </c>
    </row>
    <row r="10" spans="2:6" ht="20.100000000000001" customHeight="1" x14ac:dyDescent="0.25">
      <c r="B10" s="16"/>
      <c r="C10" s="50"/>
      <c r="D10" s="16"/>
      <c r="E10" s="16"/>
      <c r="F10" s="16"/>
    </row>
    <row r="11" spans="2:6" ht="20.100000000000001" customHeight="1" x14ac:dyDescent="0.25">
      <c r="D11" s="1"/>
      <c r="E11" s="1"/>
      <c r="F11" s="1"/>
    </row>
    <row r="12" spans="2:6" ht="24.75" customHeight="1" x14ac:dyDescent="0.25">
      <c r="B12" s="16" t="s">
        <v>67</v>
      </c>
      <c r="C12" s="50">
        <v>1</v>
      </c>
      <c r="D12" s="1"/>
      <c r="E12" s="1"/>
      <c r="F12" s="1"/>
    </row>
    <row r="13" spans="2:6" ht="20.100000000000001" hidden="1" customHeight="1" x14ac:dyDescent="0.25">
      <c r="B13" s="1" t="s">
        <v>68</v>
      </c>
      <c r="D13" s="52">
        <f>+'Cédula Nota 1'!D9</f>
        <v>0</v>
      </c>
      <c r="E13" s="52">
        <v>0</v>
      </c>
      <c r="F13" s="52">
        <f t="shared" ref="F13:F18" si="0">D13-E13</f>
        <v>0</v>
      </c>
    </row>
    <row r="14" spans="2:6" ht="20.100000000000001" customHeight="1" x14ac:dyDescent="0.25">
      <c r="B14" s="1" t="s">
        <v>69</v>
      </c>
      <c r="D14" s="52">
        <f>+'Cédula Nota 1'!D10</f>
        <v>200000</v>
      </c>
      <c r="E14" s="52">
        <v>200000</v>
      </c>
      <c r="F14" s="52">
        <f t="shared" si="0"/>
        <v>0</v>
      </c>
    </row>
    <row r="15" spans="2:6" ht="20.100000000000001" customHeight="1" x14ac:dyDescent="0.25">
      <c r="B15" s="1" t="s">
        <v>70</v>
      </c>
      <c r="D15" s="52">
        <f>+'Cédula Nota 1'!D11</f>
        <v>168192173.88999999</v>
      </c>
      <c r="E15" s="52">
        <v>656937335.25</v>
      </c>
      <c r="F15" s="52">
        <f t="shared" si="0"/>
        <v>-488745161.36000001</v>
      </c>
    </row>
    <row r="16" spans="2:6" ht="20.100000000000001" customHeight="1" x14ac:dyDescent="0.25">
      <c r="B16" s="1" t="s">
        <v>71</v>
      </c>
      <c r="D16" s="52">
        <f>+'Cédula Nota 1'!D12</f>
        <v>47731.360000000001</v>
      </c>
      <c r="E16" s="52">
        <v>47906.36</v>
      </c>
      <c r="F16" s="52">
        <f t="shared" si="0"/>
        <v>-175</v>
      </c>
    </row>
    <row r="17" spans="2:6" ht="20.100000000000001" customHeight="1" x14ac:dyDescent="0.25">
      <c r="B17" s="1" t="s">
        <v>72</v>
      </c>
      <c r="D17" s="52">
        <f>+'Cédula Nota 1'!D13</f>
        <v>18140.169999999998</v>
      </c>
      <c r="E17" s="52">
        <v>18140.169999999998</v>
      </c>
      <c r="F17" s="52">
        <f t="shared" si="0"/>
        <v>0</v>
      </c>
    </row>
    <row r="18" spans="2:6" ht="20.100000000000001" customHeight="1" x14ac:dyDescent="0.25">
      <c r="B18" s="1" t="s">
        <v>73</v>
      </c>
      <c r="D18" s="52">
        <f>+'Cédula Nota 1'!D14</f>
        <v>1051222.8514999999</v>
      </c>
      <c r="E18" s="52">
        <v>1045780.8004999999</v>
      </c>
      <c r="F18" s="52">
        <f t="shared" si="0"/>
        <v>5442.0509999999776</v>
      </c>
    </row>
    <row r="19" spans="2:6" ht="20.100000000000001" customHeight="1" x14ac:dyDescent="0.25">
      <c r="C19" s="327" t="s">
        <v>74</v>
      </c>
      <c r="D19" s="52"/>
      <c r="E19" s="52"/>
      <c r="F19" s="52"/>
    </row>
    <row r="20" spans="2:6" ht="20.100000000000001" customHeight="1" x14ac:dyDescent="0.25">
      <c r="B20" s="16" t="s">
        <v>75</v>
      </c>
      <c r="C20" s="50" t="s">
        <v>76</v>
      </c>
      <c r="D20" s="53">
        <f>SUM(D13:D18)</f>
        <v>169509268.27149999</v>
      </c>
      <c r="E20" s="53">
        <f>SUM(E13:E18)</f>
        <v>658249162.58050001</v>
      </c>
      <c r="F20" s="53">
        <f>SUM(F13:F18)</f>
        <v>-488739894.30900002</v>
      </c>
    </row>
    <row r="21" spans="2:6" ht="20.100000000000001" customHeight="1" x14ac:dyDescent="0.25">
      <c r="C21" s="19" t="s">
        <v>76</v>
      </c>
      <c r="D21" s="52"/>
      <c r="E21" s="52"/>
      <c r="F21" s="52"/>
    </row>
    <row r="22" spans="2:6" ht="20.100000000000001" customHeight="1" x14ac:dyDescent="0.25">
      <c r="C22" s="19" t="s">
        <v>76</v>
      </c>
      <c r="D22" s="52"/>
      <c r="E22" s="52"/>
      <c r="F22" s="52"/>
    </row>
    <row r="23" spans="2:6" ht="24.75" customHeight="1" x14ac:dyDescent="0.25">
      <c r="B23" s="16" t="s">
        <v>77</v>
      </c>
      <c r="C23" s="50">
        <v>2</v>
      </c>
      <c r="D23" s="1"/>
      <c r="E23" s="1"/>
      <c r="F23" s="1"/>
    </row>
    <row r="24" spans="2:6" ht="20.100000000000001" customHeight="1" x14ac:dyDescent="0.25">
      <c r="B24" s="1" t="s">
        <v>78</v>
      </c>
      <c r="C24" s="19" t="s">
        <v>76</v>
      </c>
      <c r="D24" s="52">
        <f>+'Cédula Nota 2 '!E12</f>
        <v>1641890297.2199998</v>
      </c>
      <c r="E24" s="52">
        <v>1626543009.8800001</v>
      </c>
      <c r="F24" s="52">
        <f>D24-E24</f>
        <v>15347287.339999676</v>
      </c>
    </row>
    <row r="25" spans="2:6" ht="20.100000000000001" hidden="1" customHeight="1" x14ac:dyDescent="0.25">
      <c r="B25" s="1" t="s">
        <v>79</v>
      </c>
      <c r="D25" s="52" t="e">
        <f>+'Cédula Nota 2 '!C12</f>
        <v>#REF!</v>
      </c>
      <c r="E25" s="52">
        <v>0</v>
      </c>
      <c r="F25" s="52" t="e">
        <f>D25-E25</f>
        <v>#REF!</v>
      </c>
    </row>
    <row r="26" spans="2:6" ht="20.100000000000001" hidden="1" customHeight="1" x14ac:dyDescent="0.25">
      <c r="B26" s="1" t="s">
        <v>80</v>
      </c>
      <c r="C26" s="19" t="s">
        <v>76</v>
      </c>
      <c r="D26" s="52">
        <v>0</v>
      </c>
      <c r="E26" s="52">
        <v>0</v>
      </c>
      <c r="F26" s="52">
        <f>D26-E26</f>
        <v>0</v>
      </c>
    </row>
    <row r="27" spans="2:6" ht="20.100000000000001" customHeight="1" x14ac:dyDescent="0.25">
      <c r="C27" s="327" t="s">
        <v>74</v>
      </c>
      <c r="D27" s="52"/>
      <c r="E27" s="52"/>
      <c r="F27" s="52"/>
    </row>
    <row r="28" spans="2:6" ht="20.100000000000001" customHeight="1" x14ac:dyDescent="0.25">
      <c r="B28" s="16" t="s">
        <v>81</v>
      </c>
      <c r="C28" s="50" t="s">
        <v>76</v>
      </c>
      <c r="D28" s="53">
        <f>+D24</f>
        <v>1641890297.2199998</v>
      </c>
      <c r="E28" s="53">
        <f>SUM(E24:E27)</f>
        <v>1626543009.8800001</v>
      </c>
      <c r="F28" s="53">
        <f>+D28-E28</f>
        <v>15347287.339999676</v>
      </c>
    </row>
    <row r="29" spans="2:6" ht="20.100000000000001" customHeight="1" x14ac:dyDescent="0.25">
      <c r="C29" s="19" t="s">
        <v>76</v>
      </c>
      <c r="D29" s="52"/>
      <c r="E29" s="52"/>
      <c r="F29" s="52"/>
    </row>
    <row r="30" spans="2:6" ht="20.100000000000001" customHeight="1" x14ac:dyDescent="0.25">
      <c r="C30" s="19" t="s">
        <v>76</v>
      </c>
      <c r="D30" s="366"/>
      <c r="E30" s="52"/>
      <c r="F30" s="52"/>
    </row>
    <row r="31" spans="2:6" ht="24.75" customHeight="1" x14ac:dyDescent="0.25">
      <c r="B31" s="16" t="s">
        <v>82</v>
      </c>
      <c r="C31" s="50">
        <v>3</v>
      </c>
      <c r="D31" s="1"/>
      <c r="E31" s="1"/>
      <c r="F31" s="1"/>
    </row>
    <row r="32" spans="2:6" ht="20.100000000000001" hidden="1" customHeight="1" x14ac:dyDescent="0.25">
      <c r="B32" s="1" t="s">
        <v>83</v>
      </c>
      <c r="C32" s="19" t="s">
        <v>76</v>
      </c>
      <c r="D32" s="52">
        <v>0</v>
      </c>
      <c r="E32" s="52">
        <v>0</v>
      </c>
      <c r="F32" s="52">
        <f t="shared" ref="F32:F37" si="1">D32-E32</f>
        <v>0</v>
      </c>
    </row>
    <row r="33" spans="2:6" ht="19.5" customHeight="1" x14ac:dyDescent="0.25">
      <c r="B33" s="1" t="s">
        <v>84</v>
      </c>
      <c r="C33" s="19" t="s">
        <v>76</v>
      </c>
      <c r="D33" s="52">
        <f>+'Nota 3 Resumen'!C9</f>
        <v>8547806.209999999</v>
      </c>
      <c r="E33" s="52">
        <v>8976957.9499999993</v>
      </c>
      <c r="F33" s="52">
        <f t="shared" si="1"/>
        <v>-429151.74000000022</v>
      </c>
    </row>
    <row r="34" spans="2:6" ht="20.100000000000001" customHeight="1" x14ac:dyDescent="0.25">
      <c r="B34" s="1" t="s">
        <v>85</v>
      </c>
      <c r="C34" s="19" t="s">
        <v>76</v>
      </c>
      <c r="D34" s="52">
        <f>+'Nota 3 Resumen'!C10</f>
        <v>4798540.8099999996</v>
      </c>
      <c r="E34" s="52">
        <v>16620580.539999999</v>
      </c>
      <c r="F34" s="52">
        <f t="shared" si="1"/>
        <v>-11822039.73</v>
      </c>
    </row>
    <row r="35" spans="2:6" ht="20.100000000000001" hidden="1" customHeight="1" x14ac:dyDescent="0.25">
      <c r="B35" s="1" t="s">
        <v>86</v>
      </c>
      <c r="D35" s="52">
        <f>+'NOTA 3-Intereses'!C11</f>
        <v>0</v>
      </c>
      <c r="E35" s="52">
        <v>0</v>
      </c>
      <c r="F35" s="52">
        <f t="shared" si="1"/>
        <v>0</v>
      </c>
    </row>
    <row r="36" spans="2:6" ht="20.100000000000001" customHeight="1" x14ac:dyDescent="0.25">
      <c r="B36" s="1" t="s">
        <v>87</v>
      </c>
      <c r="D36" s="52">
        <f>+'Nota 3 Resumen'!C12</f>
        <v>0</v>
      </c>
      <c r="E36" s="52">
        <v>0</v>
      </c>
      <c r="F36" s="52">
        <f t="shared" si="1"/>
        <v>0</v>
      </c>
    </row>
    <row r="37" spans="2:6" ht="20.100000000000001" customHeight="1" x14ac:dyDescent="0.25">
      <c r="B37" s="1" t="s">
        <v>88</v>
      </c>
      <c r="C37" s="19" t="s">
        <v>76</v>
      </c>
      <c r="D37" s="52">
        <f>+'Nota 3 Resumen'!C13</f>
        <v>382879.32</v>
      </c>
      <c r="E37" s="52">
        <v>457104.04000000004</v>
      </c>
      <c r="F37" s="52">
        <f t="shared" si="1"/>
        <v>-74224.72000000003</v>
      </c>
    </row>
    <row r="38" spans="2:6" ht="20.100000000000001" customHeight="1" x14ac:dyDescent="0.25">
      <c r="C38" s="327" t="s">
        <v>74</v>
      </c>
      <c r="D38" s="52"/>
      <c r="E38" s="52"/>
      <c r="F38" s="52"/>
    </row>
    <row r="39" spans="2:6" ht="20.100000000000001" customHeight="1" x14ac:dyDescent="0.25">
      <c r="B39" s="16" t="s">
        <v>89</v>
      </c>
      <c r="C39" s="50" t="s">
        <v>76</v>
      </c>
      <c r="D39" s="53">
        <f>SUM(D32:D37)</f>
        <v>13729226.34</v>
      </c>
      <c r="E39" s="51">
        <f>SUM(E32:E37)</f>
        <v>26054642.529999997</v>
      </c>
      <c r="F39" s="53">
        <f>SUM(F32:F37)</f>
        <v>-12325416.190000001</v>
      </c>
    </row>
    <row r="40" spans="2:6" ht="20.100000000000001" customHeight="1" x14ac:dyDescent="0.25">
      <c r="C40" s="19" t="s">
        <v>76</v>
      </c>
      <c r="D40" s="52"/>
      <c r="E40" s="52"/>
      <c r="F40" s="52"/>
    </row>
    <row r="41" spans="2:6" ht="20.100000000000001" customHeight="1" x14ac:dyDescent="0.25">
      <c r="C41" s="19" t="s">
        <v>76</v>
      </c>
      <c r="D41" s="52"/>
      <c r="E41" s="52"/>
      <c r="F41" s="52"/>
    </row>
    <row r="42" spans="2:6" ht="24.75" customHeight="1" x14ac:dyDescent="0.25">
      <c r="B42" s="16" t="s">
        <v>90</v>
      </c>
      <c r="C42" s="50">
        <v>4</v>
      </c>
      <c r="D42" s="1"/>
      <c r="E42" s="1"/>
      <c r="F42" s="1"/>
    </row>
    <row r="43" spans="2:6" ht="20.100000000000001" customHeight="1" x14ac:dyDescent="0.25">
      <c r="B43" s="1" t="s">
        <v>91</v>
      </c>
      <c r="C43" s="50"/>
      <c r="D43" s="52">
        <f>+'NOTA 4  INVENTARIO'!C20</f>
        <v>2263998.9699999997</v>
      </c>
      <c r="E43" s="52">
        <v>19362976.580000002</v>
      </c>
      <c r="F43" s="52">
        <f>D43-E43</f>
        <v>-17098977.610000003</v>
      </c>
    </row>
    <row r="44" spans="2:6" ht="20.100000000000001" customHeight="1" x14ac:dyDescent="0.25">
      <c r="B44" s="1" t="s">
        <v>92</v>
      </c>
      <c r="C44" s="50"/>
      <c r="D44" s="52">
        <f>+'NOTA 4  INVENTARIO'!C32</f>
        <v>868738.42999999993</v>
      </c>
      <c r="E44" s="52">
        <v>856614.48</v>
      </c>
      <c r="F44" s="52">
        <f>D44-E44</f>
        <v>12123.949999999953</v>
      </c>
    </row>
    <row r="45" spans="2:6" ht="20.100000000000001" customHeight="1" x14ac:dyDescent="0.25">
      <c r="C45" s="327" t="s">
        <v>74</v>
      </c>
      <c r="D45" s="52"/>
      <c r="E45" s="52"/>
      <c r="F45" s="52"/>
    </row>
    <row r="46" spans="2:6" ht="20.100000000000001" customHeight="1" x14ac:dyDescent="0.25">
      <c r="B46" s="16" t="s">
        <v>93</v>
      </c>
      <c r="C46" s="50" t="s">
        <v>76</v>
      </c>
      <c r="D46" s="53">
        <f>SUM(D43:D45)</f>
        <v>3132737.3999999994</v>
      </c>
      <c r="E46" s="53">
        <f>SUM(E43:E45)</f>
        <v>20219591.060000002</v>
      </c>
      <c r="F46" s="53">
        <f>SUM(F43:F45)</f>
        <v>-17086853.660000004</v>
      </c>
    </row>
    <row r="47" spans="2:6" ht="20.100000000000001" customHeight="1" x14ac:dyDescent="0.25">
      <c r="C47" s="328"/>
      <c r="D47" s="52"/>
      <c r="E47" s="52"/>
      <c r="F47" s="52"/>
    </row>
    <row r="48" spans="2:6" ht="20.100000000000001" customHeight="1" x14ac:dyDescent="0.25">
      <c r="C48" s="328"/>
      <c r="D48" s="52"/>
      <c r="E48" s="52"/>
      <c r="F48" s="52"/>
    </row>
    <row r="49" spans="2:6" ht="24.75" customHeight="1" x14ac:dyDescent="0.25">
      <c r="B49" s="16" t="s">
        <v>94</v>
      </c>
      <c r="C49" s="50">
        <v>5</v>
      </c>
      <c r="D49" s="1"/>
      <c r="E49" s="1"/>
      <c r="F49" s="1"/>
    </row>
    <row r="50" spans="2:6" ht="20.100000000000001" customHeight="1" x14ac:dyDescent="0.25">
      <c r="B50" s="1" t="s">
        <v>95</v>
      </c>
      <c r="D50" s="52">
        <f>+'NOTA 5  GPA'!C9</f>
        <v>904426.83</v>
      </c>
      <c r="E50" s="52">
        <v>82220.62</v>
      </c>
      <c r="F50" s="52">
        <f>D50-E50</f>
        <v>822206.21</v>
      </c>
    </row>
    <row r="51" spans="2:6" ht="20.100000000000001" customHeight="1" x14ac:dyDescent="0.25">
      <c r="B51" s="1" t="s">
        <v>96</v>
      </c>
      <c r="D51" s="52">
        <f>+'NOTA 5  GPA'!C14</f>
        <v>2889210.2033333331</v>
      </c>
      <c r="E51" s="52">
        <v>2402903.9900000002</v>
      </c>
      <c r="F51" s="52">
        <f>D51-E51</f>
        <v>486306.21333333291</v>
      </c>
    </row>
    <row r="52" spans="2:6" ht="20.100000000000001" customHeight="1" x14ac:dyDescent="0.25">
      <c r="C52" s="327" t="s">
        <v>74</v>
      </c>
      <c r="D52" s="52"/>
      <c r="E52" s="52"/>
      <c r="F52" s="52"/>
    </row>
    <row r="53" spans="2:6" ht="20.100000000000001" customHeight="1" x14ac:dyDescent="0.25">
      <c r="B53" s="16" t="s">
        <v>97</v>
      </c>
      <c r="C53" s="50" t="s">
        <v>76</v>
      </c>
      <c r="D53" s="53">
        <f>SUM(D50:D51)</f>
        <v>3793637.0333333332</v>
      </c>
      <c r="E53" s="53">
        <f>SUM(E50:E51)</f>
        <v>2485124.6100000003</v>
      </c>
      <c r="F53" s="53">
        <f>SUM(F50:F51)</f>
        <v>1308512.4233333329</v>
      </c>
    </row>
    <row r="54" spans="2:6" ht="20.100000000000001" customHeight="1" x14ac:dyDescent="0.25">
      <c r="C54" s="19" t="s">
        <v>76</v>
      </c>
      <c r="D54" s="52"/>
      <c r="E54" s="52"/>
      <c r="F54" s="52"/>
    </row>
    <row r="55" spans="2:6" ht="20.100000000000001" customHeight="1" x14ac:dyDescent="0.25">
      <c r="D55" s="52"/>
      <c r="E55" s="52"/>
      <c r="F55" s="52"/>
    </row>
    <row r="56" spans="2:6" ht="20.100000000000001" customHeight="1" x14ac:dyDescent="0.25">
      <c r="B56" s="16" t="s">
        <v>98</v>
      </c>
      <c r="C56" s="50">
        <v>6</v>
      </c>
      <c r="D56" s="1"/>
      <c r="E56" s="1"/>
      <c r="F56" s="1"/>
    </row>
    <row r="57" spans="2:6" ht="20.100000000000001" customHeight="1" x14ac:dyDescent="0.25">
      <c r="B57" s="1" t="s">
        <v>99</v>
      </c>
      <c r="C57" s="50"/>
      <c r="D57" s="52">
        <v>695349700</v>
      </c>
      <c r="E57" s="52">
        <v>695349700</v>
      </c>
      <c r="F57" s="52">
        <f>+D57-E57</f>
        <v>0</v>
      </c>
    </row>
    <row r="58" spans="2:6" ht="20.100000000000001" customHeight="1" x14ac:dyDescent="0.25">
      <c r="B58" s="1" t="s">
        <v>100</v>
      </c>
      <c r="C58" s="329"/>
      <c r="D58" s="52">
        <f>+-309771035.29+-49893711.42</f>
        <v>-359664746.71000004</v>
      </c>
      <c r="E58" s="52">
        <v>-359664746.71000004</v>
      </c>
      <c r="F58" s="52">
        <f>+D58-E58</f>
        <v>0</v>
      </c>
    </row>
    <row r="59" spans="2:6" ht="20.100000000000001" customHeight="1" x14ac:dyDescent="0.25">
      <c r="B59" s="1" t="s">
        <v>101</v>
      </c>
      <c r="C59" s="330"/>
      <c r="D59" s="331">
        <v>34767485</v>
      </c>
      <c r="E59" s="331">
        <v>34767485</v>
      </c>
      <c r="F59" s="331">
        <f>+D59-E59</f>
        <v>0</v>
      </c>
    </row>
    <row r="60" spans="2:6" ht="24.75" customHeight="1" x14ac:dyDescent="0.25">
      <c r="B60" s="16" t="s">
        <v>102</v>
      </c>
      <c r="C60" s="50"/>
      <c r="D60" s="53">
        <f>SUM(D57:D59)</f>
        <v>370452438.28999996</v>
      </c>
      <c r="E60" s="53">
        <f>SUM(E57:E59)</f>
        <v>370452438.28999996</v>
      </c>
      <c r="F60" s="53">
        <f>SUM(F57:F59)</f>
        <v>0</v>
      </c>
    </row>
    <row r="61" spans="2:6" ht="20.100000000000001" customHeight="1" x14ac:dyDescent="0.25">
      <c r="B61" s="332"/>
      <c r="C61" s="50"/>
      <c r="D61" s="51"/>
      <c r="E61" s="51"/>
      <c r="F61" s="51"/>
    </row>
    <row r="62" spans="2:6" ht="20.100000000000001" customHeight="1" x14ac:dyDescent="0.25">
      <c r="C62" s="50"/>
      <c r="D62" s="52"/>
      <c r="E62" s="51"/>
      <c r="F62" s="52"/>
    </row>
    <row r="63" spans="2:6" ht="20.100000000000001" customHeight="1" x14ac:dyDescent="0.25">
      <c r="B63" s="1" t="s">
        <v>103</v>
      </c>
      <c r="C63" s="19" t="s">
        <v>76</v>
      </c>
      <c r="D63" s="52">
        <f>2816310100+1441528485.47</f>
        <v>4257838585.4700003</v>
      </c>
      <c r="E63" s="52">
        <v>2816310100</v>
      </c>
      <c r="F63" s="52">
        <f>+D63-E63</f>
        <v>1441528485.4700003</v>
      </c>
    </row>
    <row r="64" spans="2:6" ht="20.100000000000001" customHeight="1" x14ac:dyDescent="0.25">
      <c r="B64" s="1" t="s">
        <v>100</v>
      </c>
      <c r="D64" s="52">
        <v>-687862450.89999998</v>
      </c>
      <c r="E64" s="52">
        <v>-687862450.89999998</v>
      </c>
      <c r="F64" s="52">
        <f>+D64-E64</f>
        <v>0</v>
      </c>
    </row>
    <row r="65" spans="2:6" ht="20.100000000000001" customHeight="1" x14ac:dyDescent="0.25">
      <c r="B65" s="1" t="s">
        <v>101</v>
      </c>
      <c r="C65" s="333"/>
      <c r="D65" s="331">
        <v>281631010.64999998</v>
      </c>
      <c r="E65" s="331">
        <v>281631010.64999998</v>
      </c>
      <c r="F65" s="331">
        <f>+D65-E65</f>
        <v>0</v>
      </c>
    </row>
    <row r="66" spans="2:6" ht="20.100000000000001" customHeight="1" x14ac:dyDescent="0.25">
      <c r="B66" s="16" t="s">
        <v>104</v>
      </c>
      <c r="C66" s="50"/>
      <c r="D66" s="53">
        <f>SUM(D63:D65)</f>
        <v>3851607145.2200003</v>
      </c>
      <c r="E66" s="53">
        <f>SUM(E63:E65)</f>
        <v>2410078659.75</v>
      </c>
      <c r="F66" s="53">
        <f>SUM(F63:F65)</f>
        <v>1441528485.4700003</v>
      </c>
    </row>
    <row r="67" spans="2:6" ht="20.100000000000001" customHeight="1" x14ac:dyDescent="0.25">
      <c r="D67" s="52"/>
      <c r="E67" s="52"/>
      <c r="F67" s="52"/>
    </row>
    <row r="68" spans="2:6" ht="20.100000000000001" customHeight="1" x14ac:dyDescent="0.25">
      <c r="D68" s="52"/>
      <c r="E68" s="52"/>
      <c r="F68" s="52"/>
    </row>
    <row r="69" spans="2:6" ht="20.100000000000001" customHeight="1" x14ac:dyDescent="0.25">
      <c r="B69" s="1" t="s">
        <v>105</v>
      </c>
      <c r="D69" s="52">
        <f>251919000+564769119.36</f>
        <v>816688119.36000001</v>
      </c>
      <c r="E69" s="52">
        <v>251919000</v>
      </c>
      <c r="F69" s="52">
        <f>+D69-E69</f>
        <v>564769119.36000001</v>
      </c>
    </row>
    <row r="70" spans="2:6" ht="20.100000000000001" customHeight="1" x14ac:dyDescent="0.25">
      <c r="B70" s="1" t="s">
        <v>100</v>
      </c>
      <c r="D70" s="52">
        <v>1369205316.1700001</v>
      </c>
      <c r="E70" s="52">
        <v>1369205316.1700001</v>
      </c>
      <c r="F70" s="52">
        <f>+D70-E70</f>
        <v>0</v>
      </c>
    </row>
    <row r="71" spans="2:6" ht="20.100000000000001" customHeight="1" x14ac:dyDescent="0.25">
      <c r="B71" s="1" t="s">
        <v>101</v>
      </c>
      <c r="C71" s="333"/>
      <c r="D71" s="331">
        <v>25191900</v>
      </c>
      <c r="E71" s="331">
        <v>25191900</v>
      </c>
      <c r="F71" s="331">
        <f>+D71-E71</f>
        <v>0</v>
      </c>
    </row>
    <row r="72" spans="2:6" ht="20.100000000000001" customHeight="1" x14ac:dyDescent="0.25">
      <c r="B72" s="16" t="s">
        <v>106</v>
      </c>
      <c r="C72" s="50"/>
      <c r="D72" s="53">
        <f>SUM(D69:D71)</f>
        <v>2211085335.5300002</v>
      </c>
      <c r="E72" s="53">
        <f>SUM(E69:E71)</f>
        <v>1646316216.1700001</v>
      </c>
      <c r="F72" s="53">
        <f>SUM(F69:F71)</f>
        <v>564769119.36000001</v>
      </c>
    </row>
    <row r="73" spans="2:6" ht="20.100000000000001" customHeight="1" x14ac:dyDescent="0.25">
      <c r="D73" s="52"/>
      <c r="E73" s="52"/>
      <c r="F73" s="52"/>
    </row>
    <row r="74" spans="2:6" ht="20.100000000000001" customHeight="1" x14ac:dyDescent="0.25">
      <c r="D74" s="52"/>
      <c r="E74" s="52"/>
      <c r="F74" s="52"/>
    </row>
    <row r="75" spans="2:6" ht="20.100000000000001" customHeight="1" x14ac:dyDescent="0.25">
      <c r="B75" s="1" t="s">
        <v>107</v>
      </c>
      <c r="D75" s="52">
        <f>2297250000+455357668.17</f>
        <v>2752607668.1700001</v>
      </c>
      <c r="E75" s="52">
        <v>2297250000</v>
      </c>
      <c r="F75" s="52">
        <f t="shared" ref="F75:F87" si="2">D75-E75</f>
        <v>455357668.17000008</v>
      </c>
    </row>
    <row r="76" spans="2:6" ht="20.100000000000001" customHeight="1" x14ac:dyDescent="0.25">
      <c r="B76" s="1" t="s">
        <v>100</v>
      </c>
      <c r="D76" s="52">
        <v>5372567137.710001</v>
      </c>
      <c r="E76" s="52">
        <v>5372567137.710001</v>
      </c>
      <c r="F76" s="52">
        <f t="shared" si="2"/>
        <v>0</v>
      </c>
    </row>
    <row r="77" spans="2:6" ht="20.100000000000001" customHeight="1" x14ac:dyDescent="0.25">
      <c r="B77" s="1" t="s">
        <v>101</v>
      </c>
      <c r="C77" s="333"/>
      <c r="D77" s="331">
        <v>229725000.47999999</v>
      </c>
      <c r="E77" s="331">
        <v>229725000.47999999</v>
      </c>
      <c r="F77" s="331">
        <f t="shared" si="2"/>
        <v>0</v>
      </c>
    </row>
    <row r="78" spans="2:6" ht="20.100000000000001" customHeight="1" x14ac:dyDescent="0.25">
      <c r="B78" s="16" t="s">
        <v>108</v>
      </c>
      <c r="C78" s="50"/>
      <c r="D78" s="53">
        <f>SUM(D75:D77)</f>
        <v>8354899806.3600006</v>
      </c>
      <c r="E78" s="53">
        <f>SUM(E75:E77)</f>
        <v>7899542138.1900005</v>
      </c>
      <c r="F78" s="53">
        <f>SUM(F75:F77)</f>
        <v>455357668.17000008</v>
      </c>
    </row>
    <row r="79" spans="2:6" ht="20.100000000000001" customHeight="1" x14ac:dyDescent="0.25">
      <c r="B79" s="332"/>
      <c r="D79" s="51"/>
      <c r="E79" s="51"/>
      <c r="F79" s="51"/>
    </row>
    <row r="80" spans="2:6" ht="20.100000000000001" customHeight="1" x14ac:dyDescent="0.25">
      <c r="D80" s="52"/>
      <c r="E80" s="52"/>
      <c r="F80" s="52"/>
    </row>
    <row r="81" spans="2:9" ht="20.100000000000001" customHeight="1" x14ac:dyDescent="0.25">
      <c r="B81" s="1" t="s">
        <v>109</v>
      </c>
      <c r="D81" s="334">
        <v>3240339500</v>
      </c>
      <c r="E81" s="52">
        <v>3240339500</v>
      </c>
      <c r="F81" s="52">
        <f t="shared" si="2"/>
        <v>0</v>
      </c>
    </row>
    <row r="82" spans="2:9" ht="20.100000000000001" customHeight="1" x14ac:dyDescent="0.25">
      <c r="B82" s="1" t="s">
        <v>100</v>
      </c>
      <c r="D82" s="331">
        <v>-3240339500</v>
      </c>
      <c r="E82" s="331">
        <v>-3240339500</v>
      </c>
      <c r="F82" s="331">
        <f t="shared" si="2"/>
        <v>0</v>
      </c>
    </row>
    <row r="83" spans="2:9" ht="24.75" customHeight="1" x14ac:dyDescent="0.25">
      <c r="B83" s="16" t="s">
        <v>110</v>
      </c>
      <c r="C83" s="50"/>
      <c r="D83" s="53">
        <f>SUM(D81:D82)</f>
        <v>0</v>
      </c>
      <c r="E83" s="53">
        <f>SUM(E81:E82)</f>
        <v>0</v>
      </c>
      <c r="F83" s="53">
        <f>SUM(F81:F82)</f>
        <v>0</v>
      </c>
    </row>
    <row r="84" spans="2:9" ht="20.100000000000001" customHeight="1" x14ac:dyDescent="0.25">
      <c r="D84" s="52"/>
      <c r="E84" s="52"/>
      <c r="F84" s="52"/>
    </row>
    <row r="85" spans="2:9" ht="20.100000000000001" customHeight="1" x14ac:dyDescent="0.25">
      <c r="D85" s="52"/>
      <c r="E85" s="52"/>
      <c r="F85" s="52"/>
      <c r="I85" s="20"/>
    </row>
    <row r="86" spans="2:9" ht="20.100000000000001" customHeight="1" x14ac:dyDescent="0.25">
      <c r="B86" s="1" t="s">
        <v>111</v>
      </c>
      <c r="D86" s="334">
        <v>3475097800</v>
      </c>
      <c r="E86" s="52">
        <v>3475097800</v>
      </c>
      <c r="F86" s="52">
        <f t="shared" si="2"/>
        <v>0</v>
      </c>
    </row>
    <row r="87" spans="2:9" ht="20.100000000000001" customHeight="1" x14ac:dyDescent="0.25">
      <c r="B87" s="1" t="s">
        <v>100</v>
      </c>
      <c r="D87" s="331">
        <v>-3475097800</v>
      </c>
      <c r="E87" s="331">
        <v>-3475097800</v>
      </c>
      <c r="F87" s="331">
        <f t="shared" si="2"/>
        <v>0</v>
      </c>
    </row>
    <row r="88" spans="2:9" ht="20.100000000000001" customHeight="1" x14ac:dyDescent="0.25">
      <c r="B88" s="16" t="s">
        <v>112</v>
      </c>
      <c r="C88" s="50"/>
      <c r="D88" s="53">
        <f>SUM(D86:D87)</f>
        <v>0</v>
      </c>
      <c r="E88" s="53">
        <f>SUM(E86:E87)</f>
        <v>0</v>
      </c>
      <c r="F88" s="53">
        <f>SUM(F86:F87)</f>
        <v>0</v>
      </c>
    </row>
    <row r="89" spans="2:9" ht="20.100000000000001" customHeight="1" x14ac:dyDescent="0.25">
      <c r="D89" s="52"/>
      <c r="E89" s="52"/>
      <c r="F89" s="52"/>
    </row>
    <row r="90" spans="2:9" ht="20.100000000000001" customHeight="1" x14ac:dyDescent="0.25">
      <c r="D90" s="52"/>
      <c r="E90" s="52"/>
      <c r="F90" s="52"/>
    </row>
    <row r="91" spans="2:9" ht="20.100000000000001" customHeight="1" x14ac:dyDescent="0.25">
      <c r="B91" s="1" t="s">
        <v>113</v>
      </c>
      <c r="D91" s="52">
        <v>3462816000</v>
      </c>
      <c r="E91" s="52">
        <v>3462816000</v>
      </c>
      <c r="F91" s="52">
        <f>D91-E91</f>
        <v>0</v>
      </c>
    </row>
    <row r="92" spans="2:9" ht="20.100000000000001" customHeight="1" x14ac:dyDescent="0.25">
      <c r="B92" s="1" t="s">
        <v>100</v>
      </c>
      <c r="D92" s="331">
        <v>-3462816000</v>
      </c>
      <c r="E92" s="331">
        <v>-3462816000</v>
      </c>
      <c r="F92" s="331">
        <f>D92-E92</f>
        <v>0</v>
      </c>
    </row>
    <row r="93" spans="2:9" ht="20.100000000000001" customHeight="1" x14ac:dyDescent="0.25">
      <c r="B93" s="16" t="s">
        <v>114</v>
      </c>
      <c r="C93" s="50"/>
      <c r="D93" s="53">
        <f>SUM(D91:D92)</f>
        <v>0</v>
      </c>
      <c r="E93" s="53">
        <f>SUM(E91:E92)</f>
        <v>0</v>
      </c>
      <c r="F93" s="53">
        <f>SUM(F91:F92)</f>
        <v>0</v>
      </c>
    </row>
    <row r="94" spans="2:9" ht="20.100000000000001" customHeight="1" x14ac:dyDescent="0.25">
      <c r="B94" s="332"/>
      <c r="D94" s="51"/>
      <c r="E94" s="51"/>
      <c r="F94" s="51"/>
    </row>
    <row r="95" spans="2:9" ht="20.100000000000001" customHeight="1" x14ac:dyDescent="0.25">
      <c r="C95" s="327" t="s">
        <v>74</v>
      </c>
      <c r="D95" s="52"/>
      <c r="E95" s="52"/>
      <c r="F95" s="52"/>
    </row>
    <row r="96" spans="2:9" ht="20.100000000000001" customHeight="1" x14ac:dyDescent="0.25">
      <c r="B96" s="16" t="s">
        <v>115</v>
      </c>
      <c r="C96" s="50" t="s">
        <v>76</v>
      </c>
      <c r="D96" s="51">
        <f>+D60+D66+D72+D78+D83+D88+D93</f>
        <v>14788044725.400002</v>
      </c>
      <c r="E96" s="53">
        <f>+E60+E66+E72+E78+E83+E88+E93</f>
        <v>12326389452.400002</v>
      </c>
      <c r="F96" s="53">
        <f>+F60+F66+F72+F78+F83+F88+F93</f>
        <v>2461655273.0000005</v>
      </c>
    </row>
    <row r="97" spans="2:7" ht="20.100000000000001" customHeight="1" x14ac:dyDescent="0.25">
      <c r="B97" s="16"/>
      <c r="D97" s="398"/>
      <c r="E97" s="51"/>
      <c r="F97" s="51"/>
    </row>
    <row r="98" spans="2:7" ht="20.100000000000001" customHeight="1" x14ac:dyDescent="0.25">
      <c r="B98" s="55"/>
      <c r="C98" s="333"/>
      <c r="E98" s="51"/>
      <c r="F98" s="51"/>
    </row>
    <row r="99" spans="2:7" ht="24.75" customHeight="1" x14ac:dyDescent="0.25">
      <c r="B99" s="16" t="s">
        <v>116</v>
      </c>
      <c r="C99" s="50">
        <v>7</v>
      </c>
      <c r="D99" s="1"/>
      <c r="E99" s="1"/>
      <c r="F99" s="1"/>
    </row>
    <row r="100" spans="2:7" ht="20.100000000000001" customHeight="1" x14ac:dyDescent="0.25">
      <c r="B100" s="1" t="s">
        <v>117</v>
      </c>
      <c r="D100" s="52">
        <f>+'NOTA 7-AVANCES A FUTURAS CAPIT'!C14</f>
        <v>383156800</v>
      </c>
      <c r="E100" s="52">
        <v>343156800</v>
      </c>
      <c r="F100" s="52">
        <f>D100-E100</f>
        <v>40000000</v>
      </c>
    </row>
    <row r="101" spans="2:7" ht="20.100000000000001" customHeight="1" x14ac:dyDescent="0.25">
      <c r="B101" s="1" t="s">
        <v>118</v>
      </c>
      <c r="D101" s="52">
        <v>296750000</v>
      </c>
      <c r="E101" s="52">
        <v>296750000</v>
      </c>
      <c r="F101" s="52">
        <f t="shared" ref="F101:F102" si="3">D101-E101</f>
        <v>0</v>
      </c>
    </row>
    <row r="102" spans="2:7" ht="20.100000000000001" customHeight="1" x14ac:dyDescent="0.25">
      <c r="B102" s="1" t="s">
        <v>119</v>
      </c>
      <c r="D102" s="52">
        <f>+'NOTA 7-AVANCES A FUTURAS CAPIT'!C16</f>
        <v>956750000</v>
      </c>
      <c r="E102" s="52">
        <v>846750000</v>
      </c>
      <c r="F102" s="52">
        <f t="shared" si="3"/>
        <v>110000000</v>
      </c>
    </row>
    <row r="103" spans="2:7" ht="20.100000000000001" customHeight="1" x14ac:dyDescent="0.25">
      <c r="C103" s="327" t="s">
        <v>74</v>
      </c>
      <c r="D103" s="52"/>
      <c r="E103" s="52"/>
      <c r="F103" s="52"/>
    </row>
    <row r="104" spans="2:7" ht="20.100000000000001" customHeight="1" x14ac:dyDescent="0.25">
      <c r="B104" s="16" t="s">
        <v>120</v>
      </c>
      <c r="C104" s="50" t="s">
        <v>76</v>
      </c>
      <c r="D104" s="53">
        <f>SUM(D100:D102)</f>
        <v>1636656800</v>
      </c>
      <c r="E104" s="53">
        <f t="shared" ref="E104:F104" si="4">SUM(E100:E102)</f>
        <v>1486656800</v>
      </c>
      <c r="F104" s="53">
        <f t="shared" si="4"/>
        <v>150000000</v>
      </c>
    </row>
    <row r="105" spans="2:7" ht="20.100000000000001" customHeight="1" x14ac:dyDescent="0.25">
      <c r="B105" s="16"/>
      <c r="D105" s="51"/>
      <c r="E105" s="51"/>
      <c r="F105" s="51"/>
    </row>
    <row r="106" spans="2:7" ht="20.100000000000001" customHeight="1" x14ac:dyDescent="0.25">
      <c r="B106" s="55"/>
      <c r="C106" s="333"/>
      <c r="D106" s="51"/>
      <c r="E106" s="51"/>
      <c r="F106" s="51"/>
    </row>
    <row r="107" spans="2:7" ht="24.75" customHeight="1" x14ac:dyDescent="0.25">
      <c r="B107" s="16" t="s">
        <v>121</v>
      </c>
      <c r="C107" s="50">
        <v>8</v>
      </c>
      <c r="D107" s="1"/>
      <c r="E107" s="1"/>
      <c r="F107" s="1"/>
    </row>
    <row r="108" spans="2:7" ht="20.100000000000001" customHeight="1" x14ac:dyDescent="0.25">
      <c r="B108" s="1" t="s">
        <v>122</v>
      </c>
      <c r="D108" s="475">
        <f>+'NOTA 8-MOBILIARIO Y EQUIPOS, NE'!C17</f>
        <v>55491632.579999998</v>
      </c>
      <c r="E108" s="52">
        <v>55491632.579999998</v>
      </c>
      <c r="F108" s="52">
        <f t="shared" ref="F108:F115" si="5">D108-E108</f>
        <v>0</v>
      </c>
      <c r="G108" s="52"/>
    </row>
    <row r="109" spans="2:7" ht="20.100000000000001" customHeight="1" x14ac:dyDescent="0.25">
      <c r="B109" s="1" t="s">
        <v>123</v>
      </c>
      <c r="D109" s="476">
        <f>+-'NOTA 8-MOBILIARIO Y EQUIPOS, NE'!C24</f>
        <v>-38349684.819999993</v>
      </c>
      <c r="E109" s="52">
        <v>-37809274.519999996</v>
      </c>
      <c r="F109" s="52">
        <f t="shared" si="5"/>
        <v>-540410.29999999702</v>
      </c>
      <c r="G109" s="52"/>
    </row>
    <row r="110" spans="2:7" ht="20.100000000000001" customHeight="1" x14ac:dyDescent="0.25">
      <c r="B110" s="1" t="s">
        <v>124</v>
      </c>
      <c r="C110" s="333"/>
      <c r="D110" s="476">
        <f>+'NOTA 8-MOBILIARIO Y EQUIPOS, NE'!D17</f>
        <v>1003826</v>
      </c>
      <c r="E110" s="52">
        <v>1003826</v>
      </c>
      <c r="F110" s="52">
        <f t="shared" si="5"/>
        <v>0</v>
      </c>
      <c r="G110" s="52"/>
    </row>
    <row r="111" spans="2:7" ht="20.100000000000001" customHeight="1" x14ac:dyDescent="0.25">
      <c r="B111" s="1" t="s">
        <v>123</v>
      </c>
      <c r="C111" s="333"/>
      <c r="D111" s="476">
        <f>+-'NOTA 8-MOBILIARIO Y EQUIPOS, NE'!D24</f>
        <v>-623056.56999999995</v>
      </c>
      <c r="E111" s="52">
        <v>-606326.12</v>
      </c>
      <c r="F111" s="52">
        <f t="shared" si="5"/>
        <v>-16730.449999999953</v>
      </c>
      <c r="G111" s="52"/>
    </row>
    <row r="112" spans="2:7" ht="20.100000000000001" customHeight="1" x14ac:dyDescent="0.25">
      <c r="B112" s="1" t="s">
        <v>125</v>
      </c>
      <c r="C112" s="333"/>
      <c r="D112" s="476">
        <f>+'NOTA 8-MOBILIARIO Y EQUIPOS, NE'!E17</f>
        <v>25682855.010000002</v>
      </c>
      <c r="E112" s="52">
        <v>25682855.010000002</v>
      </c>
      <c r="F112" s="52">
        <f t="shared" si="5"/>
        <v>0</v>
      </c>
      <c r="G112" s="52"/>
    </row>
    <row r="113" spans="2:7" ht="20.100000000000001" customHeight="1" x14ac:dyDescent="0.25">
      <c r="B113" s="1" t="s">
        <v>123</v>
      </c>
      <c r="C113" s="333"/>
      <c r="D113" s="522">
        <f>+-'NOTA 8-MOBILIARIO Y EQUIPOS, NE'!E24</f>
        <v>-20903625.489999998</v>
      </c>
      <c r="E113" s="2">
        <v>-20801227.829999998</v>
      </c>
      <c r="F113" s="2">
        <f t="shared" si="5"/>
        <v>-102397.66000000015</v>
      </c>
      <c r="G113" s="2"/>
    </row>
    <row r="114" spans="2:7" ht="20.100000000000001" customHeight="1" x14ac:dyDescent="0.25">
      <c r="B114" s="1" t="s">
        <v>126</v>
      </c>
      <c r="C114" s="333" t="s">
        <v>76</v>
      </c>
      <c r="D114" s="522">
        <f>+'NOTA 8-MOBILIARIO Y EQUIPOS, NE'!I17</f>
        <v>5881555.6499999994</v>
      </c>
      <c r="E114" s="2">
        <v>5881555.6499999994</v>
      </c>
      <c r="F114" s="2">
        <f t="shared" si="5"/>
        <v>0</v>
      </c>
      <c r="G114" s="2"/>
    </row>
    <row r="115" spans="2:7" ht="20.100000000000001" customHeight="1" x14ac:dyDescent="0.25">
      <c r="B115" s="1" t="s">
        <v>127</v>
      </c>
      <c r="C115" s="333"/>
      <c r="D115" s="522">
        <f>+-'NOTA 8-MOBILIARIO Y EQUIPOS, NE'!I24</f>
        <v>-5881555.6499999994</v>
      </c>
      <c r="E115" s="2">
        <v>-5881555.6499999994</v>
      </c>
      <c r="F115" s="2">
        <f t="shared" si="5"/>
        <v>0</v>
      </c>
      <c r="G115" s="2"/>
    </row>
    <row r="116" spans="2:7" ht="20.100000000000001" customHeight="1" x14ac:dyDescent="0.25">
      <c r="C116" s="327" t="s">
        <v>74</v>
      </c>
      <c r="D116" s="52"/>
      <c r="E116" s="52"/>
      <c r="F116" s="475"/>
      <c r="G116" s="52"/>
    </row>
    <row r="117" spans="2:7" ht="20.100000000000001" customHeight="1" x14ac:dyDescent="0.25">
      <c r="B117" s="16" t="s">
        <v>128</v>
      </c>
      <c r="C117" s="50" t="s">
        <v>76</v>
      </c>
      <c r="D117" s="53">
        <f>SUM(D108:D115)</f>
        <v>22301946.710000005</v>
      </c>
      <c r="E117" s="53">
        <f>SUM(E108:E115)</f>
        <v>22961485.120000005</v>
      </c>
      <c r="F117" s="53">
        <f>SUM(F108:F115)</f>
        <v>-659538.40999999712</v>
      </c>
      <c r="G117" s="53"/>
    </row>
    <row r="118" spans="2:7" ht="20.100000000000001" customHeight="1" x14ac:dyDescent="0.25">
      <c r="B118" s="20"/>
      <c r="C118" s="19" t="s">
        <v>76</v>
      </c>
      <c r="D118" s="52"/>
      <c r="E118" s="52"/>
      <c r="F118" s="52"/>
    </row>
    <row r="119" spans="2:7" ht="20.100000000000001" customHeight="1" x14ac:dyDescent="0.25">
      <c r="B119" s="20"/>
      <c r="C119" s="19" t="s">
        <v>76</v>
      </c>
      <c r="D119" s="52"/>
      <c r="E119" s="52"/>
      <c r="F119" s="52"/>
    </row>
    <row r="120" spans="2:7" ht="24.75" customHeight="1" x14ac:dyDescent="0.25">
      <c r="B120" s="16" t="s">
        <v>129</v>
      </c>
      <c r="C120" s="50">
        <v>9</v>
      </c>
      <c r="D120" s="1"/>
      <c r="E120" s="1"/>
      <c r="F120" s="1"/>
    </row>
    <row r="121" spans="2:7" ht="20.100000000000001" customHeight="1" x14ac:dyDescent="0.25">
      <c r="B121" s="1" t="s">
        <v>130</v>
      </c>
      <c r="D121" s="52">
        <f>+'NOTA 9-CEDULAS CxP PROVEEDORES '!C9</f>
        <v>5413808.0199999996</v>
      </c>
      <c r="E121" s="52">
        <v>17719034</v>
      </c>
      <c r="F121" s="52">
        <f t="shared" ref="F121:F134" si="6">D121-E121</f>
        <v>-12305225.98</v>
      </c>
    </row>
    <row r="122" spans="2:7" ht="20.100000000000001" customHeight="1" x14ac:dyDescent="0.25">
      <c r="B122" s="1" t="s">
        <v>131</v>
      </c>
      <c r="D122" s="334">
        <f>+'NOTA 9-CEDULAS CxP PROVEEDORES '!C10</f>
        <v>532850</v>
      </c>
      <c r="E122" s="52">
        <v>0</v>
      </c>
      <c r="F122" s="52">
        <f t="shared" si="6"/>
        <v>532850</v>
      </c>
    </row>
    <row r="123" spans="2:7" ht="20.100000000000001" customHeight="1" x14ac:dyDescent="0.25">
      <c r="B123" s="1" t="s">
        <v>132</v>
      </c>
      <c r="C123" s="19" t="s">
        <v>76</v>
      </c>
      <c r="D123" s="334">
        <f>+'NOTA 9-CEDULAS CxP PROVEEDORES '!C11</f>
        <v>182218.5</v>
      </c>
      <c r="E123" s="48">
        <v>148648.44</v>
      </c>
      <c r="F123" s="52">
        <f t="shared" si="6"/>
        <v>33570.06</v>
      </c>
    </row>
    <row r="124" spans="2:7" ht="20.100000000000001" customHeight="1" x14ac:dyDescent="0.25">
      <c r="B124" s="1" t="s">
        <v>133</v>
      </c>
      <c r="D124" s="334">
        <f>+'NOTA 9-CEDULAS CxP PROVEEDORES '!C12</f>
        <v>7210</v>
      </c>
      <c r="E124" s="52">
        <v>128055.78</v>
      </c>
      <c r="F124" s="52">
        <f t="shared" si="6"/>
        <v>-120845.78</v>
      </c>
    </row>
    <row r="125" spans="2:7" ht="20.100000000000001" customHeight="1" x14ac:dyDescent="0.25">
      <c r="B125" s="1" t="s">
        <v>134</v>
      </c>
      <c r="D125" s="334">
        <f>+'NOTA 9-CEDULAS CxP PROVEEDORES '!C13</f>
        <v>70500</v>
      </c>
      <c r="E125" s="52">
        <v>0</v>
      </c>
      <c r="F125" s="52">
        <f t="shared" si="6"/>
        <v>70500</v>
      </c>
    </row>
    <row r="126" spans="2:7" ht="20.100000000000001" customHeight="1" x14ac:dyDescent="0.25">
      <c r="B126" s="1" t="s">
        <v>135</v>
      </c>
      <c r="D126" s="52">
        <f>+'NOTA 9-CEDULAS CxP PROVEEDORES '!C14</f>
        <v>0</v>
      </c>
      <c r="E126" s="52">
        <v>0</v>
      </c>
      <c r="F126" s="52">
        <f t="shared" si="6"/>
        <v>0</v>
      </c>
    </row>
    <row r="127" spans="2:7" ht="20.100000000000001" hidden="1" customHeight="1" x14ac:dyDescent="0.25">
      <c r="B127" s="1" t="s">
        <v>136</v>
      </c>
      <c r="D127" s="52">
        <v>0</v>
      </c>
      <c r="E127" s="52">
        <v>0</v>
      </c>
      <c r="F127" s="52">
        <f t="shared" si="6"/>
        <v>0</v>
      </c>
    </row>
    <row r="128" spans="2:7" ht="20.100000000000001" customHeight="1" x14ac:dyDescent="0.25">
      <c r="C128" s="327" t="s">
        <v>74</v>
      </c>
      <c r="D128" s="52"/>
      <c r="E128" s="52"/>
      <c r="F128" s="52"/>
    </row>
    <row r="129" spans="2:6" ht="20.100000000000001" customHeight="1" x14ac:dyDescent="0.25">
      <c r="B129" s="16" t="s">
        <v>137</v>
      </c>
      <c r="C129" s="50"/>
      <c r="D129" s="53">
        <f>SUM(D121:D128)</f>
        <v>6206586.5199999996</v>
      </c>
      <c r="E129" s="53">
        <f t="shared" ref="E129:F129" si="7">SUM(E121:E128)</f>
        <v>17995738.220000003</v>
      </c>
      <c r="F129" s="53">
        <f t="shared" si="7"/>
        <v>-11789151.699999999</v>
      </c>
    </row>
    <row r="130" spans="2:6" ht="20.100000000000001" customHeight="1" x14ac:dyDescent="0.25">
      <c r="D130" s="52"/>
      <c r="E130" s="52"/>
      <c r="F130" s="52"/>
    </row>
    <row r="131" spans="2:6" ht="20.100000000000001" customHeight="1" x14ac:dyDescent="0.25">
      <c r="D131" s="52"/>
      <c r="E131" s="52"/>
      <c r="F131" s="52"/>
    </row>
    <row r="132" spans="2:6" ht="44.25" customHeight="1" x14ac:dyDescent="0.25">
      <c r="B132" s="59" t="s">
        <v>138</v>
      </c>
      <c r="C132" s="50">
        <v>10</v>
      </c>
      <c r="D132" s="1"/>
      <c r="E132" s="1"/>
      <c r="F132" s="1"/>
    </row>
    <row r="133" spans="2:6" ht="20.100000000000001" customHeight="1" x14ac:dyDescent="0.25">
      <c r="B133" s="1" t="s">
        <v>139</v>
      </c>
      <c r="D133" s="52">
        <f>+'NOTA 10-CEDULAS CxP CONTRATISTA'!C9</f>
        <v>0</v>
      </c>
      <c r="E133" s="52">
        <v>0</v>
      </c>
      <c r="F133" s="52">
        <f>D133-E133</f>
        <v>0</v>
      </c>
    </row>
    <row r="134" spans="2:6" ht="20.100000000000001" customHeight="1" x14ac:dyDescent="0.25">
      <c r="B134" s="1" t="s">
        <v>140</v>
      </c>
      <c r="D134" s="334">
        <f>+'NOTA 10-CEDULAS CxP CONTRATISTA'!C10</f>
        <v>3941.73</v>
      </c>
      <c r="E134" s="48">
        <v>4720</v>
      </c>
      <c r="F134" s="52">
        <f t="shared" si="6"/>
        <v>-778.27</v>
      </c>
    </row>
    <row r="135" spans="2:6" ht="20.100000000000001" customHeight="1" x14ac:dyDescent="0.25">
      <c r="C135" s="327" t="s">
        <v>74</v>
      </c>
      <c r="D135" s="48"/>
      <c r="E135" s="48"/>
      <c r="F135" s="52"/>
    </row>
    <row r="136" spans="2:6" ht="37.5" customHeight="1" x14ac:dyDescent="0.25">
      <c r="B136" s="59" t="s">
        <v>141</v>
      </c>
      <c r="C136" s="50" t="s">
        <v>76</v>
      </c>
      <c r="D136" s="53">
        <f>SUM(D133:D135)</f>
        <v>3941.73</v>
      </c>
      <c r="E136" s="53">
        <f t="shared" ref="E136:F136" si="8">SUM(E133:E135)</f>
        <v>4720</v>
      </c>
      <c r="F136" s="53">
        <f t="shared" si="8"/>
        <v>-778.27</v>
      </c>
    </row>
    <row r="137" spans="2:6" ht="20.100000000000001" customHeight="1" x14ac:dyDescent="0.25">
      <c r="B137" s="46"/>
      <c r="C137" s="57"/>
      <c r="D137" s="52"/>
      <c r="E137" s="52"/>
      <c r="F137" s="52"/>
    </row>
    <row r="138" spans="2:6" ht="20.100000000000001" customHeight="1" x14ac:dyDescent="0.25">
      <c r="C138" s="19" t="s">
        <v>76</v>
      </c>
    </row>
    <row r="139" spans="2:6" ht="24.75" customHeight="1" x14ac:dyDescent="0.25">
      <c r="B139" s="16" t="s">
        <v>142</v>
      </c>
      <c r="C139" s="50">
        <v>11</v>
      </c>
      <c r="D139" s="1"/>
      <c r="E139" s="1"/>
      <c r="F139" s="1"/>
    </row>
    <row r="140" spans="2:6" ht="20.100000000000001" customHeight="1" x14ac:dyDescent="0.25">
      <c r="B140" s="1" t="s">
        <v>143</v>
      </c>
      <c r="D140" s="334">
        <f>+'NOTA 11-GASTOS PERSONAL X PAGAR'!B9</f>
        <v>586551.4</v>
      </c>
      <c r="E140" s="52">
        <v>677209.86</v>
      </c>
      <c r="F140" s="52">
        <f>D140-E140</f>
        <v>-90658.459999999963</v>
      </c>
    </row>
    <row r="141" spans="2:6" ht="20.100000000000001" customHeight="1" x14ac:dyDescent="0.25">
      <c r="B141" s="1" t="s">
        <v>144</v>
      </c>
      <c r="C141" s="19" t="s">
        <v>76</v>
      </c>
      <c r="D141" s="334">
        <f>+'NOTA 11-GASTOS PERSONAL X PAGAR'!B10</f>
        <v>23151260.989999998</v>
      </c>
      <c r="E141" s="52">
        <v>19143402.73</v>
      </c>
      <c r="F141" s="52">
        <f>D141-E141</f>
        <v>4007858.2599999979</v>
      </c>
    </row>
    <row r="142" spans="2:6" ht="20.100000000000001" customHeight="1" x14ac:dyDescent="0.25">
      <c r="B142" s="1" t="s">
        <v>145</v>
      </c>
      <c r="D142" s="334">
        <v>0</v>
      </c>
      <c r="E142" s="52">
        <v>0</v>
      </c>
      <c r="F142" s="52">
        <f>D142-E142</f>
        <v>0</v>
      </c>
    </row>
    <row r="143" spans="2:6" ht="20.100000000000001" customHeight="1" x14ac:dyDescent="0.25">
      <c r="B143" s="1" t="s">
        <v>146</v>
      </c>
      <c r="C143" s="19" t="s">
        <v>76</v>
      </c>
      <c r="D143" s="334">
        <f>+'NOTA 11-GASTOS PERSONAL X PAGAR'!B12</f>
        <v>7371806.8300000001</v>
      </c>
      <c r="E143" s="52">
        <v>6925463.96</v>
      </c>
      <c r="F143" s="52">
        <f>D143-E143</f>
        <v>446342.87000000011</v>
      </c>
    </row>
    <row r="144" spans="2:6" ht="20.100000000000001" customHeight="1" x14ac:dyDescent="0.25">
      <c r="B144" s="1" t="s">
        <v>147</v>
      </c>
      <c r="C144" s="19" t="s">
        <v>76</v>
      </c>
      <c r="D144" s="334">
        <f>+'NOTA 11-GASTOS PERSONAL X PAGAR'!B13</f>
        <v>8806696.6600000001</v>
      </c>
      <c r="E144" s="90">
        <v>7999206.6600000001</v>
      </c>
      <c r="F144" s="52">
        <f>D144-E144</f>
        <v>807490</v>
      </c>
    </row>
    <row r="145" spans="2:6" ht="20.100000000000001" customHeight="1" x14ac:dyDescent="0.25">
      <c r="C145" s="327" t="s">
        <v>74</v>
      </c>
      <c r="D145" s="52"/>
      <c r="E145" s="52"/>
      <c r="F145" s="52"/>
    </row>
    <row r="146" spans="2:6" ht="20.100000000000001" customHeight="1" x14ac:dyDescent="0.25">
      <c r="B146" s="16" t="s">
        <v>148</v>
      </c>
      <c r="C146" s="50" t="s">
        <v>76</v>
      </c>
      <c r="D146" s="53">
        <f>SUM(D140:D145)</f>
        <v>39916315.879999995</v>
      </c>
      <c r="E146" s="53">
        <f>SUM(E140:E145)</f>
        <v>34745283.210000001</v>
      </c>
      <c r="F146" s="53">
        <f>SUM(F140:F145)</f>
        <v>5171032.6699999981</v>
      </c>
    </row>
    <row r="147" spans="2:6" ht="20.100000000000001" customHeight="1" x14ac:dyDescent="0.25">
      <c r="C147" s="19" t="s">
        <v>76</v>
      </c>
      <c r="D147" s="52"/>
      <c r="E147" s="52"/>
      <c r="F147" s="52"/>
    </row>
    <row r="148" spans="2:6" ht="20.100000000000001" customHeight="1" x14ac:dyDescent="0.25">
      <c r="C148" s="19" t="s">
        <v>76</v>
      </c>
      <c r="D148" s="52"/>
      <c r="E148" s="52"/>
      <c r="F148" s="52"/>
    </row>
    <row r="149" spans="2:6" ht="24.75" customHeight="1" x14ac:dyDescent="0.25">
      <c r="B149" s="16" t="s">
        <v>149</v>
      </c>
      <c r="C149" s="50">
        <v>12</v>
      </c>
      <c r="D149" s="1"/>
      <c r="E149" s="1"/>
      <c r="F149" s="1"/>
    </row>
    <row r="150" spans="2:6" ht="20.100000000000001" customHeight="1" x14ac:dyDescent="0.25">
      <c r="B150" s="1" t="s">
        <v>150</v>
      </c>
      <c r="D150" s="334">
        <f>+'NOTA 12-RETENCIONES X PAGAR'!B10</f>
        <v>208304.55</v>
      </c>
      <c r="E150" s="90">
        <v>355717.45</v>
      </c>
      <c r="F150" s="52">
        <f>D150-E150</f>
        <v>-147412.90000000002</v>
      </c>
    </row>
    <row r="151" spans="2:6" ht="20.100000000000001" customHeight="1" x14ac:dyDescent="0.25">
      <c r="B151" s="1" t="s">
        <v>151</v>
      </c>
      <c r="C151" s="19" t="s">
        <v>76</v>
      </c>
      <c r="D151" s="334">
        <f>+'NOTA 12-RETENCIONES X PAGAR'!B11</f>
        <v>1574170.18</v>
      </c>
      <c r="E151" s="90">
        <v>1543339.43</v>
      </c>
      <c r="F151" s="52">
        <f>D151-E151</f>
        <v>30830.75</v>
      </c>
    </row>
    <row r="152" spans="2:6" ht="20.100000000000001" customHeight="1" x14ac:dyDescent="0.25">
      <c r="B152" s="1" t="s">
        <v>152</v>
      </c>
      <c r="D152" s="334">
        <f>+'NOTA 12-RETENCIONES X PAGAR'!B12</f>
        <v>70547.179999999993</v>
      </c>
      <c r="E152" s="52">
        <v>211279.72</v>
      </c>
      <c r="F152" s="52">
        <f t="shared" ref="F152" si="9">D152-E152</f>
        <v>-140732.54</v>
      </c>
    </row>
    <row r="153" spans="2:6" ht="20.100000000000001" customHeight="1" x14ac:dyDescent="0.25">
      <c r="B153" s="1" t="s">
        <v>153</v>
      </c>
      <c r="D153" s="334">
        <f>+'NOTA 12-RETENCIONES X PAGAR'!B13</f>
        <v>0</v>
      </c>
      <c r="E153" s="52">
        <v>1230.1400000000001</v>
      </c>
      <c r="F153" s="52">
        <f>D153-E153</f>
        <v>-1230.1400000000001</v>
      </c>
    </row>
    <row r="154" spans="2:6" ht="20.100000000000001" customHeight="1" x14ac:dyDescent="0.25">
      <c r="B154" s="1" t="s">
        <v>154</v>
      </c>
      <c r="D154" s="334">
        <f>+'NOTA 12-RETENCIONES X PAGAR'!B14</f>
        <v>0</v>
      </c>
      <c r="E154" s="52">
        <v>12301.39</v>
      </c>
      <c r="F154" s="52">
        <f>D154-E154</f>
        <v>-12301.39</v>
      </c>
    </row>
    <row r="155" spans="2:6" ht="20.100000000000001" customHeight="1" x14ac:dyDescent="0.25">
      <c r="C155" s="327" t="s">
        <v>74</v>
      </c>
      <c r="D155" s="334"/>
      <c r="E155" s="52"/>
      <c r="F155" s="52"/>
    </row>
    <row r="156" spans="2:6" ht="20.100000000000001" customHeight="1" x14ac:dyDescent="0.25">
      <c r="B156" s="16" t="s">
        <v>155</v>
      </c>
      <c r="C156" s="50" t="s">
        <v>76</v>
      </c>
      <c r="D156" s="53">
        <f>SUM(D150:D155)</f>
        <v>1853021.91</v>
      </c>
      <c r="E156" s="53">
        <f>SUM(E150:E155)</f>
        <v>2123868.1300000004</v>
      </c>
      <c r="F156" s="53">
        <f>SUM(F150:F155)</f>
        <v>-270846.22000000003</v>
      </c>
    </row>
    <row r="157" spans="2:6" ht="20.100000000000001" customHeight="1" x14ac:dyDescent="0.25">
      <c r="D157" s="52"/>
      <c r="E157" s="52"/>
      <c r="F157" s="52"/>
    </row>
    <row r="158" spans="2:6" ht="20.100000000000001" customHeight="1" x14ac:dyDescent="0.25">
      <c r="D158" s="52"/>
      <c r="E158" s="52"/>
      <c r="F158" s="52"/>
    </row>
    <row r="159" spans="2:6" ht="24.75" customHeight="1" x14ac:dyDescent="0.25">
      <c r="B159" s="16" t="s">
        <v>156</v>
      </c>
      <c r="C159" s="50">
        <v>13</v>
      </c>
      <c r="D159" s="1"/>
      <c r="E159" s="1"/>
      <c r="F159" s="1"/>
    </row>
    <row r="160" spans="2:6" ht="20.100000000000001" customHeight="1" x14ac:dyDescent="0.25">
      <c r="B160" s="1" t="s">
        <v>156</v>
      </c>
      <c r="D160" s="52">
        <f>+'NOTA 13-OTRAS CXP'!B12</f>
        <v>53801721.299999997</v>
      </c>
      <c r="E160" s="52">
        <v>50702581.969999999</v>
      </c>
      <c r="F160" s="52">
        <f>D160-E160</f>
        <v>3099139.3299999982</v>
      </c>
    </row>
    <row r="161" spans="2:6" ht="20.100000000000001" customHeight="1" x14ac:dyDescent="0.25">
      <c r="C161" s="327" t="s">
        <v>74</v>
      </c>
      <c r="D161" s="52"/>
      <c r="E161" s="52"/>
      <c r="F161" s="52"/>
    </row>
    <row r="162" spans="2:6" ht="20.100000000000001" customHeight="1" x14ac:dyDescent="0.25">
      <c r="B162" s="16" t="s">
        <v>157</v>
      </c>
      <c r="C162" s="50" t="s">
        <v>76</v>
      </c>
      <c r="D162" s="53">
        <f>SUM(D160:D160)</f>
        <v>53801721.299999997</v>
      </c>
      <c r="E162" s="53">
        <f>SUM(E160:E160)</f>
        <v>50702581.969999999</v>
      </c>
      <c r="F162" s="53">
        <f>SUM(F160:F160)</f>
        <v>3099139.3299999982</v>
      </c>
    </row>
    <row r="163" spans="2:6" ht="20.100000000000001" customHeight="1" x14ac:dyDescent="0.25">
      <c r="C163" s="19" t="s">
        <v>76</v>
      </c>
      <c r="D163" s="1"/>
      <c r="E163" s="1"/>
      <c r="F163" s="1"/>
    </row>
    <row r="164" spans="2:6" ht="20.100000000000001" customHeight="1" x14ac:dyDescent="0.25">
      <c r="C164" s="19" t="s">
        <v>76</v>
      </c>
      <c r="D164" s="52"/>
      <c r="E164" s="52"/>
      <c r="F164" s="52"/>
    </row>
    <row r="165" spans="2:6" ht="20.100000000000001" customHeight="1" x14ac:dyDescent="0.25">
      <c r="C165" s="19" t="s">
        <v>76</v>
      </c>
      <c r="D165" s="1"/>
      <c r="E165" s="1"/>
      <c r="F165" s="1"/>
    </row>
    <row r="166" spans="2:6" x14ac:dyDescent="0.25">
      <c r="C166" s="19" t="s">
        <v>76</v>
      </c>
      <c r="D166" s="52"/>
      <c r="E166" s="52"/>
      <c r="F166" s="52"/>
    </row>
    <row r="167" spans="2:6" x14ac:dyDescent="0.25">
      <c r="D167" s="52"/>
      <c r="E167" s="1"/>
      <c r="F167" s="1"/>
    </row>
    <row r="168" spans="2:6" x14ac:dyDescent="0.25">
      <c r="D168" s="1"/>
      <c r="E168" s="1"/>
      <c r="F168" s="1"/>
    </row>
    <row r="169" spans="2:6" x14ac:dyDescent="0.25">
      <c r="D169" s="1"/>
      <c r="E169" s="1"/>
      <c r="F169" s="1"/>
    </row>
    <row r="170" spans="2:6" x14ac:dyDescent="0.25">
      <c r="D170" s="1"/>
      <c r="E170" s="1"/>
      <c r="F170" s="1"/>
    </row>
    <row r="171" spans="2:6" x14ac:dyDescent="0.25">
      <c r="D171" s="1"/>
      <c r="E171" s="1"/>
      <c r="F171" s="1"/>
    </row>
    <row r="172" spans="2:6" x14ac:dyDescent="0.25">
      <c r="D172" s="1"/>
      <c r="E172" s="1"/>
      <c r="F172" s="1"/>
    </row>
    <row r="173" spans="2:6" x14ac:dyDescent="0.25">
      <c r="D173" s="1"/>
      <c r="E173" s="1"/>
      <c r="F173" s="1"/>
    </row>
    <row r="174" spans="2:6" x14ac:dyDescent="0.25">
      <c r="D174" s="1"/>
      <c r="E174" s="1"/>
      <c r="F174" s="1"/>
    </row>
    <row r="175" spans="2:6" x14ac:dyDescent="0.25">
      <c r="D175" s="1"/>
      <c r="E175" s="1"/>
      <c r="F175" s="1"/>
    </row>
    <row r="176" spans="2:6" x14ac:dyDescent="0.25">
      <c r="D176" s="1"/>
      <c r="E176" s="1"/>
      <c r="F176" s="1"/>
    </row>
    <row r="177" spans="4:6" x14ac:dyDescent="0.25">
      <c r="D177" s="1"/>
      <c r="E177" s="1"/>
      <c r="F177" s="1"/>
    </row>
    <row r="178" spans="4:6" x14ac:dyDescent="0.25">
      <c r="D178" s="1"/>
      <c r="E178" s="1"/>
      <c r="F178" s="1"/>
    </row>
    <row r="179" spans="4:6" x14ac:dyDescent="0.25">
      <c r="D179" s="1"/>
      <c r="E179" s="1"/>
      <c r="F179" s="1"/>
    </row>
    <row r="180" spans="4:6" x14ac:dyDescent="0.25">
      <c r="D180" s="1"/>
      <c r="E180" s="1"/>
      <c r="F180" s="1"/>
    </row>
    <row r="181" spans="4:6" x14ac:dyDescent="0.25">
      <c r="D181" s="1"/>
      <c r="E181" s="1"/>
      <c r="F181" s="1"/>
    </row>
    <row r="182" spans="4:6" x14ac:dyDescent="0.25">
      <c r="D182" s="1"/>
      <c r="E182" s="1"/>
      <c r="F182" s="1"/>
    </row>
    <row r="183" spans="4:6" x14ac:dyDescent="0.25">
      <c r="D183" s="1"/>
      <c r="E183" s="1"/>
      <c r="F183" s="1"/>
    </row>
    <row r="184" spans="4:6" x14ac:dyDescent="0.25">
      <c r="D184" s="1"/>
      <c r="E184" s="1"/>
      <c r="F184" s="1"/>
    </row>
    <row r="185" spans="4:6" x14ac:dyDescent="0.25">
      <c r="D185" s="1"/>
      <c r="E185" s="1"/>
      <c r="F185" s="1"/>
    </row>
    <row r="186" spans="4:6" x14ac:dyDescent="0.25">
      <c r="D186" s="1"/>
      <c r="E186" s="1"/>
      <c r="F186" s="1"/>
    </row>
    <row r="187" spans="4:6" x14ac:dyDescent="0.25">
      <c r="D187" s="1"/>
      <c r="E187" s="1"/>
      <c r="F187" s="1"/>
    </row>
    <row r="188" spans="4:6" x14ac:dyDescent="0.25">
      <c r="D188" s="1"/>
      <c r="E188" s="1"/>
      <c r="F188" s="1"/>
    </row>
    <row r="189" spans="4:6" x14ac:dyDescent="0.25">
      <c r="D189" s="1"/>
      <c r="E189" s="1"/>
      <c r="F189" s="1"/>
    </row>
    <row r="190" spans="4:6" x14ac:dyDescent="0.25">
      <c r="D190" s="1"/>
      <c r="E190" s="1"/>
      <c r="F190" s="1"/>
    </row>
    <row r="191" spans="4:6" x14ac:dyDescent="0.25">
      <c r="D191" s="1"/>
      <c r="E191" s="1"/>
      <c r="F191" s="1"/>
    </row>
    <row r="192" spans="4:6" x14ac:dyDescent="0.25">
      <c r="D192" s="1"/>
      <c r="E192" s="1"/>
      <c r="F192" s="1"/>
    </row>
    <row r="193" spans="4:6" x14ac:dyDescent="0.25">
      <c r="D193" s="1"/>
      <c r="E193" s="1"/>
      <c r="F193" s="1"/>
    </row>
    <row r="194" spans="4:6" x14ac:dyDescent="0.25">
      <c r="D194" s="1"/>
      <c r="E194" s="1"/>
      <c r="F194" s="1"/>
    </row>
    <row r="195" spans="4:6" x14ac:dyDescent="0.25">
      <c r="D195" s="1"/>
      <c r="E195" s="1"/>
      <c r="F195" s="1"/>
    </row>
    <row r="196" spans="4:6" x14ac:dyDescent="0.25">
      <c r="D196" s="1"/>
      <c r="E196" s="1"/>
      <c r="F196" s="1"/>
    </row>
    <row r="197" spans="4:6" x14ac:dyDescent="0.25">
      <c r="D197" s="1"/>
      <c r="E197" s="1"/>
      <c r="F197" s="1"/>
    </row>
    <row r="198" spans="4:6" x14ac:dyDescent="0.25">
      <c r="D198" s="1"/>
      <c r="E198" s="1"/>
      <c r="F198" s="1"/>
    </row>
    <row r="199" spans="4:6" x14ac:dyDescent="0.25">
      <c r="D199" s="1"/>
      <c r="E199" s="1"/>
      <c r="F199" s="1"/>
    </row>
    <row r="200" spans="4:6" x14ac:dyDescent="0.25">
      <c r="D200" s="1"/>
      <c r="E200" s="1"/>
      <c r="F200" s="1"/>
    </row>
    <row r="201" spans="4:6" x14ac:dyDescent="0.25">
      <c r="D201" s="1"/>
      <c r="E201" s="1"/>
      <c r="F201" s="1"/>
    </row>
    <row r="202" spans="4:6" x14ac:dyDescent="0.25">
      <c r="D202" s="1"/>
      <c r="E202" s="1"/>
      <c r="F202" s="1"/>
    </row>
    <row r="203" spans="4:6" x14ac:dyDescent="0.25">
      <c r="D203" s="1"/>
      <c r="E203" s="1"/>
      <c r="F203" s="1"/>
    </row>
    <row r="204" spans="4:6" x14ac:dyDescent="0.25">
      <c r="D204" s="1"/>
      <c r="E204" s="1"/>
      <c r="F204" s="1"/>
    </row>
    <row r="205" spans="4:6" x14ac:dyDescent="0.25">
      <c r="D205" s="1"/>
      <c r="E205" s="1"/>
      <c r="F205" s="1"/>
    </row>
    <row r="206" spans="4:6" x14ac:dyDescent="0.25">
      <c r="D206" s="1"/>
      <c r="E206" s="1"/>
      <c r="F206" s="1"/>
    </row>
    <row r="207" spans="4:6" x14ac:dyDescent="0.25">
      <c r="D207" s="1"/>
      <c r="E207" s="1"/>
      <c r="F207" s="1"/>
    </row>
    <row r="208" spans="4:6" x14ac:dyDescent="0.25">
      <c r="D208" s="1"/>
      <c r="E208" s="1"/>
      <c r="F208" s="1"/>
    </row>
    <row r="209" spans="4:6" x14ac:dyDescent="0.25">
      <c r="D209" s="1"/>
      <c r="E209" s="1"/>
      <c r="F209" s="1"/>
    </row>
    <row r="210" spans="4:6" x14ac:dyDescent="0.25">
      <c r="D210" s="1"/>
      <c r="E210" s="1"/>
      <c r="F210" s="1"/>
    </row>
    <row r="211" spans="4:6" x14ac:dyDescent="0.25">
      <c r="D211" s="1"/>
      <c r="E211" s="1"/>
      <c r="F211" s="1"/>
    </row>
    <row r="212" spans="4:6" x14ac:dyDescent="0.25">
      <c r="D212" s="1"/>
      <c r="E212" s="1"/>
      <c r="F212" s="1"/>
    </row>
    <row r="213" spans="4:6" x14ac:dyDescent="0.25">
      <c r="D213" s="1"/>
      <c r="E213" s="1"/>
      <c r="F213" s="1"/>
    </row>
    <row r="214" spans="4:6" x14ac:dyDescent="0.25">
      <c r="D214" s="1"/>
      <c r="E214" s="1"/>
      <c r="F214" s="1"/>
    </row>
    <row r="215" spans="4:6" x14ac:dyDescent="0.25">
      <c r="D215" s="1"/>
      <c r="E215" s="1"/>
      <c r="F215" s="1"/>
    </row>
    <row r="216" spans="4:6" x14ac:dyDescent="0.25">
      <c r="D216" s="1"/>
      <c r="E216" s="1"/>
      <c r="F216" s="1"/>
    </row>
    <row r="217" spans="4:6" x14ac:dyDescent="0.25">
      <c r="D217" s="1"/>
      <c r="E217" s="1"/>
      <c r="F217" s="1"/>
    </row>
    <row r="218" spans="4:6" x14ac:dyDescent="0.25">
      <c r="D218" s="1"/>
      <c r="E218" s="1"/>
      <c r="F218" s="1"/>
    </row>
    <row r="219" spans="4:6" x14ac:dyDescent="0.25">
      <c r="D219" s="1"/>
      <c r="E219" s="1"/>
      <c r="F219" s="1"/>
    </row>
    <row r="220" spans="4:6" x14ac:dyDescent="0.25">
      <c r="D220" s="1"/>
      <c r="E220" s="1"/>
      <c r="F220" s="1"/>
    </row>
    <row r="221" spans="4:6" x14ac:dyDescent="0.25">
      <c r="D221" s="1"/>
      <c r="E221" s="1"/>
      <c r="F221" s="1"/>
    </row>
    <row r="222" spans="4:6" x14ac:dyDescent="0.25">
      <c r="D222" s="1"/>
      <c r="E222" s="1"/>
      <c r="F222" s="1"/>
    </row>
    <row r="223" spans="4:6" x14ac:dyDescent="0.25">
      <c r="D223" s="1"/>
      <c r="E223" s="1"/>
      <c r="F223" s="1"/>
    </row>
    <row r="224" spans="4:6" x14ac:dyDescent="0.25">
      <c r="D224" s="1"/>
      <c r="E224" s="1"/>
      <c r="F224" s="1"/>
    </row>
    <row r="225" spans="4:6" x14ac:dyDescent="0.25">
      <c r="D225" s="1"/>
      <c r="E225" s="1"/>
      <c r="F225" s="1"/>
    </row>
    <row r="226" spans="4:6" x14ac:dyDescent="0.25">
      <c r="D226" s="1"/>
      <c r="E226" s="1"/>
      <c r="F226" s="1"/>
    </row>
    <row r="227" spans="4:6" x14ac:dyDescent="0.25">
      <c r="D227" s="1"/>
      <c r="E227" s="1"/>
      <c r="F227" s="1"/>
    </row>
    <row r="228" spans="4:6" x14ac:dyDescent="0.25">
      <c r="D228" s="1"/>
      <c r="E228" s="1"/>
      <c r="F228" s="1"/>
    </row>
    <row r="229" spans="4:6" x14ac:dyDescent="0.25">
      <c r="D229" s="1"/>
      <c r="E229" s="1"/>
      <c r="F229" s="1"/>
    </row>
    <row r="230" spans="4:6" x14ac:dyDescent="0.25">
      <c r="D230" s="1"/>
      <c r="E230" s="1"/>
      <c r="F230" s="1"/>
    </row>
    <row r="231" spans="4:6" x14ac:dyDescent="0.25">
      <c r="D231" s="1"/>
      <c r="E231" s="1"/>
      <c r="F231" s="1"/>
    </row>
    <row r="232" spans="4:6" x14ac:dyDescent="0.25">
      <c r="D232" s="1"/>
      <c r="E232" s="1"/>
      <c r="F232" s="1"/>
    </row>
    <row r="233" spans="4:6" x14ac:dyDescent="0.25">
      <c r="D233" s="1"/>
      <c r="E233" s="1"/>
      <c r="F233" s="1"/>
    </row>
    <row r="234" spans="4:6" x14ac:dyDescent="0.25">
      <c r="D234" s="1"/>
      <c r="E234" s="1"/>
      <c r="F234" s="1"/>
    </row>
    <row r="235" spans="4:6" x14ac:dyDescent="0.25">
      <c r="D235" s="1"/>
      <c r="E235" s="1"/>
      <c r="F235" s="1"/>
    </row>
    <row r="236" spans="4:6" x14ac:dyDescent="0.25">
      <c r="D236" s="1"/>
      <c r="E236" s="1"/>
      <c r="F236" s="1"/>
    </row>
    <row r="237" spans="4:6" x14ac:dyDescent="0.25">
      <c r="D237" s="1"/>
      <c r="E237" s="1"/>
      <c r="F237" s="1"/>
    </row>
    <row r="238" spans="4:6" x14ac:dyDescent="0.25">
      <c r="D238" s="1"/>
      <c r="E238" s="1"/>
      <c r="F238" s="1"/>
    </row>
    <row r="239" spans="4:6" x14ac:dyDescent="0.25">
      <c r="D239" s="1"/>
      <c r="E239" s="1"/>
      <c r="F239" s="1"/>
    </row>
    <row r="240" spans="4:6" x14ac:dyDescent="0.25">
      <c r="D240" s="1"/>
      <c r="E240" s="1"/>
      <c r="F240" s="1"/>
    </row>
    <row r="241" spans="4:6" x14ac:dyDescent="0.25">
      <c r="D241" s="1"/>
      <c r="E241" s="1"/>
      <c r="F241" s="1"/>
    </row>
    <row r="242" spans="4:6" x14ac:dyDescent="0.25">
      <c r="D242" s="1"/>
      <c r="E242" s="1"/>
      <c r="F242" s="1"/>
    </row>
    <row r="243" spans="4:6" x14ac:dyDescent="0.25">
      <c r="D243" s="1"/>
      <c r="E243" s="1"/>
      <c r="F243" s="1"/>
    </row>
    <row r="244" spans="4:6" x14ac:dyDescent="0.25">
      <c r="D244" s="1"/>
      <c r="E244" s="1"/>
      <c r="F244" s="1"/>
    </row>
    <row r="245" spans="4:6" x14ac:dyDescent="0.25">
      <c r="D245" s="1"/>
      <c r="E245" s="1"/>
      <c r="F245" s="1"/>
    </row>
    <row r="246" spans="4:6" x14ac:dyDescent="0.25">
      <c r="D246" s="1"/>
      <c r="E246" s="1"/>
      <c r="F246" s="1"/>
    </row>
    <row r="247" spans="4:6" x14ac:dyDescent="0.25">
      <c r="D247" s="1"/>
      <c r="E247" s="1"/>
      <c r="F247" s="1"/>
    </row>
    <row r="248" spans="4:6" x14ac:dyDescent="0.25">
      <c r="D248" s="1"/>
      <c r="E248" s="1"/>
      <c r="F248" s="1"/>
    </row>
    <row r="249" spans="4:6" x14ac:dyDescent="0.25">
      <c r="D249" s="1"/>
      <c r="E249" s="1"/>
      <c r="F249" s="1"/>
    </row>
    <row r="250" spans="4:6" x14ac:dyDescent="0.25">
      <c r="D250" s="1"/>
      <c r="E250" s="1"/>
      <c r="F250" s="1"/>
    </row>
    <row r="251" spans="4:6" x14ac:dyDescent="0.25">
      <c r="D251" s="1"/>
      <c r="E251" s="1"/>
      <c r="F251" s="1"/>
    </row>
    <row r="252" spans="4:6" x14ac:dyDescent="0.25">
      <c r="D252" s="1"/>
      <c r="E252" s="1"/>
      <c r="F252" s="1"/>
    </row>
    <row r="253" spans="4:6" x14ac:dyDescent="0.25">
      <c r="D253" s="1"/>
      <c r="E253" s="1"/>
      <c r="F253" s="1"/>
    </row>
    <row r="254" spans="4:6" x14ac:dyDescent="0.25">
      <c r="D254" s="1"/>
      <c r="E254" s="1"/>
      <c r="F254" s="1"/>
    </row>
    <row r="255" spans="4:6" x14ac:dyDescent="0.25">
      <c r="D255" s="1"/>
      <c r="E255" s="1"/>
      <c r="F255" s="1"/>
    </row>
    <row r="256" spans="4:6" x14ac:dyDescent="0.25">
      <c r="D256" s="1"/>
      <c r="E256" s="1"/>
      <c r="F256" s="1"/>
    </row>
    <row r="257" spans="4:6" x14ac:dyDescent="0.25">
      <c r="D257" s="1"/>
      <c r="E257" s="1"/>
      <c r="F257" s="1"/>
    </row>
    <row r="258" spans="4:6" x14ac:dyDescent="0.25">
      <c r="D258" s="1"/>
      <c r="E258" s="1"/>
      <c r="F258" s="1"/>
    </row>
    <row r="259" spans="4:6" x14ac:dyDescent="0.25">
      <c r="D259" s="1"/>
      <c r="E259" s="1"/>
      <c r="F259" s="1"/>
    </row>
    <row r="260" spans="4:6" x14ac:dyDescent="0.25">
      <c r="D260" s="1"/>
      <c r="E260" s="1"/>
      <c r="F260" s="1"/>
    </row>
    <row r="261" spans="4:6" x14ac:dyDescent="0.25">
      <c r="D261" s="1"/>
      <c r="E261" s="1"/>
      <c r="F261" s="1"/>
    </row>
    <row r="262" spans="4:6" x14ac:dyDescent="0.25">
      <c r="D262" s="1"/>
      <c r="E262" s="1"/>
      <c r="F262" s="1"/>
    </row>
    <row r="263" spans="4:6" x14ac:dyDescent="0.25">
      <c r="D263" s="1"/>
      <c r="E263" s="1"/>
      <c r="F263" s="1"/>
    </row>
    <row r="264" spans="4:6" x14ac:dyDescent="0.25">
      <c r="D264" s="1"/>
      <c r="E264" s="1"/>
      <c r="F264" s="1"/>
    </row>
    <row r="265" spans="4:6" x14ac:dyDescent="0.25">
      <c r="D265" s="1"/>
      <c r="E265" s="1"/>
      <c r="F265" s="1"/>
    </row>
    <row r="266" spans="4:6" x14ac:dyDescent="0.25">
      <c r="D266" s="1"/>
      <c r="E266" s="1"/>
      <c r="F266" s="1"/>
    </row>
    <row r="267" spans="4:6" x14ac:dyDescent="0.25">
      <c r="D267" s="1"/>
      <c r="E267" s="1"/>
      <c r="F267" s="1"/>
    </row>
    <row r="268" spans="4:6" x14ac:dyDescent="0.25">
      <c r="D268" s="1"/>
      <c r="E268" s="1"/>
      <c r="F268" s="1"/>
    </row>
  </sheetData>
  <pageMargins left="0.35433070866141736" right="0.23622047244094491" top="0.47244094488188981" bottom="0.59055118110236227" header="0.15748031496062992" footer="0.31496062992125984"/>
  <pageSetup scale="55" orientation="portrait" r:id="rId1"/>
  <headerFooter>
    <oddFooter>Page &amp;P of &amp;N</oddFooter>
  </headerFooter>
  <rowBreaks count="1" manualBreakCount="1">
    <brk id="67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0"/>
  <sheetViews>
    <sheetView zoomScaleNormal="100" workbookViewId="0">
      <selection activeCell="C14" sqref="C14"/>
    </sheetView>
  </sheetViews>
  <sheetFormatPr baseColWidth="10" defaultColWidth="11.42578125" defaultRowHeight="15.75" x14ac:dyDescent="0.25"/>
  <cols>
    <col min="1" max="1" width="26.42578125" style="1" bestFit="1" customWidth="1"/>
    <col min="2" max="2" width="22" style="1" bestFit="1" customWidth="1"/>
    <col min="3" max="3" width="18" style="1" bestFit="1" customWidth="1"/>
    <col min="4" max="6" width="11.42578125" style="1"/>
    <col min="7" max="7" width="16.42578125" style="1" bestFit="1" customWidth="1"/>
    <col min="8" max="16384" width="11.42578125" style="1"/>
  </cols>
  <sheetData>
    <row r="2" spans="1:7" x14ac:dyDescent="0.25">
      <c r="B2" s="68"/>
    </row>
    <row r="3" spans="1:7" x14ac:dyDescent="0.25">
      <c r="B3" s="68"/>
    </row>
    <row r="4" spans="1:7" x14ac:dyDescent="0.25">
      <c r="A4" s="142"/>
      <c r="B4" s="142"/>
      <c r="C4" s="142"/>
      <c r="D4" s="142"/>
      <c r="E4" s="142"/>
    </row>
    <row r="5" spans="1:7" x14ac:dyDescent="0.25">
      <c r="A5" s="16" t="s">
        <v>782</v>
      </c>
      <c r="B5" s="253"/>
      <c r="C5" s="253"/>
      <c r="D5" s="253"/>
      <c r="E5" s="253"/>
    </row>
    <row r="6" spans="1:7" x14ac:dyDescent="0.25">
      <c r="A6" s="16" t="s">
        <v>616</v>
      </c>
      <c r="B6" s="253"/>
      <c r="C6" s="253"/>
      <c r="D6" s="253"/>
      <c r="E6" s="253"/>
      <c r="G6" s="2"/>
    </row>
    <row r="7" spans="1:7" ht="16.5" thickBot="1" x14ac:dyDescent="0.3">
      <c r="A7" s="16"/>
      <c r="B7" s="253"/>
      <c r="C7" s="253"/>
      <c r="D7" s="253"/>
      <c r="E7" s="253"/>
      <c r="G7" s="2"/>
    </row>
    <row r="8" spans="1:7" ht="18.75" customHeight="1" thickBot="1" x14ac:dyDescent="0.3">
      <c r="A8" s="257" t="s">
        <v>619</v>
      </c>
      <c r="B8" s="258" t="s">
        <v>283</v>
      </c>
      <c r="C8" s="56"/>
      <c r="G8" s="2"/>
    </row>
    <row r="9" spans="1:7" x14ac:dyDescent="0.25">
      <c r="A9" s="255" t="s">
        <v>783</v>
      </c>
      <c r="B9" s="256">
        <v>540860</v>
      </c>
      <c r="C9" s="56"/>
      <c r="G9" s="2"/>
    </row>
    <row r="10" spans="1:7" x14ac:dyDescent="0.25">
      <c r="A10" s="148" t="s">
        <v>784</v>
      </c>
      <c r="B10" s="254">
        <v>8279020</v>
      </c>
      <c r="C10" s="56"/>
      <c r="G10" s="2"/>
    </row>
    <row r="11" spans="1:7" ht="18" x14ac:dyDescent="0.4">
      <c r="A11" s="148" t="s">
        <v>785</v>
      </c>
      <c r="B11" s="259">
        <v>870000</v>
      </c>
      <c r="C11" s="56"/>
      <c r="G11" s="2"/>
    </row>
    <row r="12" spans="1:7" ht="18" x14ac:dyDescent="0.4">
      <c r="A12" s="252" t="s">
        <v>300</v>
      </c>
      <c r="B12" s="136">
        <f>SUM(B9:B11)</f>
        <v>9689880</v>
      </c>
      <c r="C12" s="56"/>
      <c r="G12" s="2"/>
    </row>
    <row r="13" spans="1:7" x14ac:dyDescent="0.25">
      <c r="A13" s="148"/>
      <c r="B13" s="254"/>
      <c r="C13" s="56"/>
      <c r="G13" s="2"/>
    </row>
    <row r="14" spans="1:7" x14ac:dyDescent="0.25">
      <c r="A14" s="68"/>
      <c r="B14" s="260"/>
      <c r="C14" s="56"/>
      <c r="G14" s="2"/>
    </row>
    <row r="15" spans="1:7" x14ac:dyDescent="0.25">
      <c r="A15" s="89" t="s">
        <v>786</v>
      </c>
      <c r="B15" s="68"/>
      <c r="C15" s="56"/>
      <c r="G15" s="2"/>
    </row>
    <row r="16" spans="1:7" x14ac:dyDescent="0.25">
      <c r="A16" s="1" t="s">
        <v>787</v>
      </c>
      <c r="B16" s="53">
        <f>+B12/12</f>
        <v>807490</v>
      </c>
      <c r="G16" s="2"/>
    </row>
    <row r="17" spans="1:7" x14ac:dyDescent="0.25">
      <c r="A17" s="68"/>
      <c r="B17" s="56"/>
      <c r="C17" s="53"/>
      <c r="G17" s="2"/>
    </row>
    <row r="18" spans="1:7" x14ac:dyDescent="0.25">
      <c r="A18" s="68"/>
      <c r="B18" s="56"/>
      <c r="C18" s="53"/>
      <c r="G18" s="2"/>
    </row>
    <row r="19" spans="1:7" x14ac:dyDescent="0.25">
      <c r="A19" s="1" t="s">
        <v>656</v>
      </c>
      <c r="B19" s="2">
        <v>807490</v>
      </c>
      <c r="C19" s="56"/>
      <c r="G19" s="2"/>
    </row>
    <row r="20" spans="1:7" x14ac:dyDescent="0.25">
      <c r="A20" s="1" t="s">
        <v>788</v>
      </c>
      <c r="B20" s="2">
        <v>807490</v>
      </c>
      <c r="C20" s="56"/>
    </row>
    <row r="21" spans="1:7" x14ac:dyDescent="0.25">
      <c r="A21" s="1" t="s">
        <v>637</v>
      </c>
      <c r="B21" s="2">
        <v>807490</v>
      </c>
      <c r="C21" s="56"/>
    </row>
    <row r="22" spans="1:7" x14ac:dyDescent="0.25">
      <c r="A22" s="1" t="s">
        <v>638</v>
      </c>
      <c r="B22" s="2">
        <v>807490</v>
      </c>
      <c r="C22" s="56"/>
    </row>
    <row r="23" spans="1:7" x14ac:dyDescent="0.25">
      <c r="A23" s="1" t="s">
        <v>639</v>
      </c>
      <c r="B23" s="2">
        <v>807490</v>
      </c>
      <c r="C23" s="56"/>
    </row>
    <row r="24" spans="1:7" x14ac:dyDescent="0.25">
      <c r="A24" s="1" t="s">
        <v>640</v>
      </c>
      <c r="B24" s="2">
        <v>807490</v>
      </c>
      <c r="C24" s="56"/>
    </row>
    <row r="25" spans="1:7" x14ac:dyDescent="0.25">
      <c r="A25" s="1" t="s">
        <v>641</v>
      </c>
      <c r="B25" s="2">
        <v>807490</v>
      </c>
      <c r="C25" s="56"/>
    </row>
    <row r="26" spans="1:7" x14ac:dyDescent="0.25">
      <c r="A26" s="1" t="s">
        <v>642</v>
      </c>
      <c r="B26" s="2">
        <v>807490</v>
      </c>
      <c r="C26" s="56"/>
    </row>
    <row r="27" spans="1:7" x14ac:dyDescent="0.25">
      <c r="A27" s="1" t="s">
        <v>643</v>
      </c>
      <c r="B27" s="2">
        <v>807490</v>
      </c>
      <c r="C27" s="56"/>
    </row>
    <row r="28" spans="1:7" x14ac:dyDescent="0.25">
      <c r="A28" s="1" t="s">
        <v>644</v>
      </c>
      <c r="B28" s="2">
        <v>807490</v>
      </c>
      <c r="C28" s="56"/>
    </row>
    <row r="29" spans="1:7" x14ac:dyDescent="0.25">
      <c r="A29" s="3" t="s">
        <v>645</v>
      </c>
      <c r="B29" s="28">
        <v>807490</v>
      </c>
      <c r="C29" s="56"/>
    </row>
    <row r="30" spans="1:7" hidden="1" x14ac:dyDescent="0.25">
      <c r="A30" s="1" t="s">
        <v>646</v>
      </c>
      <c r="B30" s="28"/>
      <c r="C30" s="56"/>
    </row>
    <row r="31" spans="1:7" ht="16.5" thickBot="1" x14ac:dyDescent="0.3">
      <c r="A31" s="283" t="s">
        <v>647</v>
      </c>
      <c r="B31" s="284">
        <f>SUM(B19:B30)</f>
        <v>8882390</v>
      </c>
    </row>
    <row r="32" spans="1:7" ht="16.5" thickTop="1" x14ac:dyDescent="0.25">
      <c r="A32" s="68"/>
      <c r="B32" s="68"/>
      <c r="C32" s="2"/>
      <c r="D32" s="56"/>
    </row>
    <row r="34" spans="1:3" x14ac:dyDescent="0.25">
      <c r="A34" s="1" t="s">
        <v>789</v>
      </c>
      <c r="C34" s="2">
        <f>+B19</f>
        <v>807490</v>
      </c>
    </row>
    <row r="35" spans="1:3" x14ac:dyDescent="0.25">
      <c r="A35" s="1" t="s">
        <v>790</v>
      </c>
      <c r="C35" s="2">
        <v>739198.32</v>
      </c>
    </row>
    <row r="36" spans="1:3" ht="16.5" thickBot="1" x14ac:dyDescent="0.3">
      <c r="A36" s="1" t="s">
        <v>791</v>
      </c>
      <c r="C36" s="364">
        <f>+C34-C35</f>
        <v>68291.680000000051</v>
      </c>
    </row>
    <row r="37" spans="1:3" ht="16.5" thickTop="1" x14ac:dyDescent="0.25"/>
    <row r="40" spans="1:3" x14ac:dyDescent="0.25">
      <c r="C40" s="20"/>
    </row>
  </sheetData>
  <phoneticPr fontId="35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D57"/>
  <sheetViews>
    <sheetView zoomScaleNormal="100" workbookViewId="0">
      <selection activeCell="C14" sqref="C14"/>
    </sheetView>
  </sheetViews>
  <sheetFormatPr baseColWidth="10" defaultColWidth="11.42578125" defaultRowHeight="24.75" customHeight="1" x14ac:dyDescent="0.25"/>
  <cols>
    <col min="1" max="1" width="61.85546875" style="1" customWidth="1"/>
    <col min="2" max="2" width="23.7109375" style="1" customWidth="1"/>
    <col min="3" max="3" width="15.28515625" style="1" bestFit="1" customWidth="1"/>
    <col min="4" max="4" width="23.85546875" style="1" customWidth="1"/>
    <col min="5" max="16384" width="11.42578125" style="1"/>
  </cols>
  <sheetData>
    <row r="2" spans="1:4" ht="24.75" customHeight="1" x14ac:dyDescent="0.25">
      <c r="A2" s="16"/>
      <c r="B2" s="16"/>
    </row>
    <row r="3" spans="1:4" ht="24.75" customHeight="1" x14ac:dyDescent="0.25">
      <c r="A3" s="16"/>
      <c r="B3" s="16"/>
    </row>
    <row r="4" spans="1:4" ht="24.75" customHeight="1" x14ac:dyDescent="0.25">
      <c r="A4" s="539" t="s">
        <v>792</v>
      </c>
      <c r="B4" s="539"/>
    </row>
    <row r="5" spans="1:4" ht="24.75" customHeight="1" x14ac:dyDescent="0.25">
      <c r="A5" s="539" t="s">
        <v>280</v>
      </c>
      <c r="B5" s="539"/>
    </row>
    <row r="6" spans="1:4" ht="24.75" customHeight="1" x14ac:dyDescent="0.25">
      <c r="A6" s="539" t="s">
        <v>793</v>
      </c>
      <c r="B6" s="539"/>
    </row>
    <row r="7" spans="1:4" ht="24.75" customHeight="1" x14ac:dyDescent="0.25">
      <c r="A7" s="551">
        <v>45626</v>
      </c>
      <c r="B7" s="551"/>
    </row>
    <row r="8" spans="1:4" ht="24.75" customHeight="1" thickBot="1" x14ac:dyDescent="0.3">
      <c r="A8" s="71"/>
    </row>
    <row r="9" spans="1:4" ht="24.75" customHeight="1" thickBot="1" x14ac:dyDescent="0.3">
      <c r="A9" s="164" t="s">
        <v>266</v>
      </c>
      <c r="B9" s="165" t="s">
        <v>283</v>
      </c>
    </row>
    <row r="10" spans="1:4" ht="24.75" customHeight="1" x14ac:dyDescent="0.25">
      <c r="A10" s="166" t="s">
        <v>794</v>
      </c>
      <c r="B10" s="305">
        <v>208304.55</v>
      </c>
      <c r="C10" s="533">
        <v>-208304.54</v>
      </c>
    </row>
    <row r="11" spans="1:4" ht="24.75" customHeight="1" x14ac:dyDescent="0.25">
      <c r="A11" s="78" t="s">
        <v>795</v>
      </c>
      <c r="B11" s="243">
        <v>1574170.18</v>
      </c>
      <c r="C11" s="533">
        <v>-1604665.88</v>
      </c>
    </row>
    <row r="12" spans="1:4" ht="24.75" customHeight="1" x14ac:dyDescent="0.25">
      <c r="A12" s="78" t="s">
        <v>796</v>
      </c>
      <c r="B12" s="243">
        <v>70547.179999999993</v>
      </c>
      <c r="C12" s="533">
        <v>-70547.179999999993</v>
      </c>
    </row>
    <row r="13" spans="1:4" ht="24.75" hidden="1" customHeight="1" x14ac:dyDescent="0.25">
      <c r="A13" s="78" t="s">
        <v>797</v>
      </c>
      <c r="B13" s="238"/>
    </row>
    <row r="14" spans="1:4" ht="24.75" hidden="1" customHeight="1" x14ac:dyDescent="0.4">
      <c r="A14" s="78" t="s">
        <v>798</v>
      </c>
      <c r="B14" s="244"/>
    </row>
    <row r="15" spans="1:4" ht="24.75" customHeight="1" x14ac:dyDescent="0.25">
      <c r="A15" s="83" t="s">
        <v>360</v>
      </c>
      <c r="B15" s="306">
        <f>SUM(B10:B14)</f>
        <v>1853021.91</v>
      </c>
      <c r="D15" s="20"/>
    </row>
    <row r="16" spans="1:4" ht="24.75" customHeight="1" thickBot="1" x14ac:dyDescent="0.3">
      <c r="A16" s="96"/>
      <c r="B16" s="307"/>
    </row>
    <row r="17" spans="1:3" ht="24.75" customHeight="1" x14ac:dyDescent="0.25">
      <c r="A17" s="16"/>
      <c r="B17" s="16"/>
    </row>
    <row r="18" spans="1:3" ht="24.75" customHeight="1" x14ac:dyDescent="0.25">
      <c r="A18" s="16"/>
      <c r="B18" s="335"/>
      <c r="C18" s="20"/>
    </row>
    <row r="19" spans="1:3" ht="24.75" customHeight="1" x14ac:dyDescent="0.25">
      <c r="A19" s="16"/>
      <c r="B19" s="335"/>
      <c r="C19" s="20"/>
    </row>
    <row r="20" spans="1:3" ht="24.75" customHeight="1" x14ac:dyDescent="0.25">
      <c r="A20" s="16"/>
      <c r="B20" s="335"/>
      <c r="C20" s="20"/>
    </row>
    <row r="21" spans="1:3" ht="24.75" customHeight="1" x14ac:dyDescent="0.25">
      <c r="A21" s="16"/>
      <c r="B21" s="335"/>
      <c r="C21" s="20"/>
    </row>
    <row r="22" spans="1:3" ht="24.75" customHeight="1" x14ac:dyDescent="0.25">
      <c r="A22" s="16"/>
      <c r="B22" s="335"/>
      <c r="C22" s="20"/>
    </row>
    <row r="23" spans="1:3" ht="24.75" customHeight="1" x14ac:dyDescent="0.25">
      <c r="A23" s="539" t="str">
        <f>+A4</f>
        <v>NOTA 12</v>
      </c>
      <c r="B23" s="539"/>
    </row>
    <row r="24" spans="1:3" ht="24.75" customHeight="1" x14ac:dyDescent="0.25">
      <c r="A24" s="539" t="str">
        <f>+A5</f>
        <v>Cédula de detalle de cuentas</v>
      </c>
      <c r="B24" s="539"/>
    </row>
    <row r="25" spans="1:3" ht="24.75" customHeight="1" x14ac:dyDescent="0.25">
      <c r="A25" s="539" t="s">
        <v>797</v>
      </c>
      <c r="B25" s="539"/>
    </row>
    <row r="26" spans="1:3" ht="24.75" customHeight="1" x14ac:dyDescent="0.25">
      <c r="A26" s="551">
        <v>45626</v>
      </c>
      <c r="B26" s="551"/>
    </row>
    <row r="27" spans="1:3" ht="24.75" customHeight="1" thickBot="1" x14ac:dyDescent="0.3">
      <c r="A27" s="71"/>
    </row>
    <row r="28" spans="1:3" ht="24.75" customHeight="1" thickBot="1" x14ac:dyDescent="0.3">
      <c r="A28" s="73" t="s">
        <v>266</v>
      </c>
      <c r="B28" s="75" t="s">
        <v>283</v>
      </c>
    </row>
    <row r="29" spans="1:3" ht="24.75" customHeight="1" x14ac:dyDescent="0.4">
      <c r="A29" s="76" t="s">
        <v>602</v>
      </c>
      <c r="B29" s="82">
        <v>1230.1400000000001</v>
      </c>
    </row>
    <row r="30" spans="1:3" ht="24.75" customHeight="1" x14ac:dyDescent="0.4">
      <c r="A30" s="78"/>
      <c r="B30" s="85">
        <f>SUM(B29:B29)</f>
        <v>1230.1400000000001</v>
      </c>
    </row>
    <row r="31" spans="1:3" ht="24.75" customHeight="1" thickBot="1" x14ac:dyDescent="0.3">
      <c r="A31" s="86"/>
      <c r="B31" s="248">
        <f>+B30-B13</f>
        <v>1230.1400000000001</v>
      </c>
    </row>
    <row r="32" spans="1:3" ht="24.75" customHeight="1" x14ac:dyDescent="0.25">
      <c r="B32" s="246"/>
    </row>
    <row r="33" spans="1:2" ht="24.75" customHeight="1" x14ac:dyDescent="0.25">
      <c r="A33" s="16"/>
      <c r="B33" s="16"/>
    </row>
    <row r="34" spans="1:2" ht="24.75" customHeight="1" x14ac:dyDescent="0.25">
      <c r="A34" s="539" t="str">
        <f>+A4</f>
        <v>NOTA 12</v>
      </c>
      <c r="B34" s="539"/>
    </row>
    <row r="35" spans="1:2" ht="24.75" customHeight="1" x14ac:dyDescent="0.25">
      <c r="A35" s="539" t="str">
        <f>+A5</f>
        <v>Cédula de detalle de cuentas</v>
      </c>
      <c r="B35" s="539"/>
    </row>
    <row r="36" spans="1:2" ht="24.75" customHeight="1" x14ac:dyDescent="0.25">
      <c r="A36" s="539" t="s">
        <v>798</v>
      </c>
      <c r="B36" s="539"/>
    </row>
    <row r="37" spans="1:2" ht="24.75" customHeight="1" x14ac:dyDescent="0.25">
      <c r="A37" s="551">
        <v>45626</v>
      </c>
      <c r="B37" s="551"/>
    </row>
    <row r="38" spans="1:2" ht="24.75" customHeight="1" thickBot="1" x14ac:dyDescent="0.3">
      <c r="A38" s="71"/>
      <c r="B38" s="50"/>
    </row>
    <row r="39" spans="1:2" ht="24.75" customHeight="1" thickBot="1" x14ac:dyDescent="0.3">
      <c r="A39" s="73" t="s">
        <v>266</v>
      </c>
      <c r="B39" s="75" t="s">
        <v>283</v>
      </c>
    </row>
    <row r="40" spans="1:2" ht="24.75" customHeight="1" x14ac:dyDescent="0.4">
      <c r="A40" s="76" t="s">
        <v>602</v>
      </c>
      <c r="B40" s="82">
        <v>12301.39</v>
      </c>
    </row>
    <row r="41" spans="1:2" ht="24.75" customHeight="1" x14ac:dyDescent="0.4">
      <c r="A41" s="78"/>
      <c r="B41" s="85">
        <f>SUM(B40:B40)</f>
        <v>12301.39</v>
      </c>
    </row>
    <row r="42" spans="1:2" ht="24.75" customHeight="1" thickBot="1" x14ac:dyDescent="0.3">
      <c r="A42" s="86"/>
      <c r="B42" s="249">
        <f>+B14-B41</f>
        <v>-12301.39</v>
      </c>
    </row>
    <row r="43" spans="1:2" ht="24.75" customHeight="1" x14ac:dyDescent="0.25">
      <c r="B43" s="246"/>
    </row>
    <row r="44" spans="1:2" ht="24.75" customHeight="1" x14ac:dyDescent="0.25">
      <c r="A44" s="16"/>
      <c r="B44" s="16"/>
    </row>
    <row r="46" spans="1:2" ht="24.75" customHeight="1" x14ac:dyDescent="0.25">
      <c r="A46" s="16"/>
      <c r="B46" s="16"/>
    </row>
    <row r="47" spans="1:2" ht="24.75" customHeight="1" x14ac:dyDescent="0.25">
      <c r="A47" s="539" t="s">
        <v>792</v>
      </c>
      <c r="B47" s="539"/>
    </row>
    <row r="48" spans="1:2" ht="24.75" customHeight="1" x14ac:dyDescent="0.25">
      <c r="A48" s="539" t="s">
        <v>280</v>
      </c>
      <c r="B48" s="539"/>
    </row>
    <row r="49" spans="1:4" ht="24.75" customHeight="1" x14ac:dyDescent="0.25">
      <c r="A49" s="539" t="s">
        <v>799</v>
      </c>
      <c r="B49" s="539"/>
    </row>
    <row r="50" spans="1:4" ht="24.75" customHeight="1" x14ac:dyDescent="0.25">
      <c r="A50" s="551">
        <v>45626</v>
      </c>
      <c r="B50" s="551"/>
    </row>
    <row r="51" spans="1:4" ht="24.75" customHeight="1" thickBot="1" x14ac:dyDescent="0.3">
      <c r="A51" s="71"/>
      <c r="B51" s="50"/>
    </row>
    <row r="52" spans="1:4" ht="24.75" customHeight="1" thickBot="1" x14ac:dyDescent="0.3">
      <c r="A52" s="73" t="s">
        <v>266</v>
      </c>
      <c r="B52" s="75" t="s">
        <v>283</v>
      </c>
    </row>
    <row r="53" spans="1:4" ht="24.75" customHeight="1" x14ac:dyDescent="0.25">
      <c r="A53" s="76" t="s">
        <v>800</v>
      </c>
      <c r="B53" s="80"/>
    </row>
    <row r="54" spans="1:4" ht="24.75" customHeight="1" x14ac:dyDescent="0.4">
      <c r="A54" s="76" t="s">
        <v>819</v>
      </c>
      <c r="B54" s="82"/>
    </row>
    <row r="55" spans="1:4" ht="24.75" customHeight="1" x14ac:dyDescent="0.4">
      <c r="A55" s="78"/>
      <c r="B55" s="85">
        <f>SUM(B53:B54)</f>
        <v>0</v>
      </c>
      <c r="D55" s="20"/>
    </row>
    <row r="56" spans="1:4" ht="24.75" customHeight="1" thickBot="1" x14ac:dyDescent="0.3">
      <c r="A56" s="86"/>
      <c r="B56" s="249">
        <f>+B11-B55</f>
        <v>1574170.18</v>
      </c>
    </row>
    <row r="57" spans="1:4" ht="24.75" customHeight="1" x14ac:dyDescent="0.25">
      <c r="B57" s="246"/>
    </row>
  </sheetData>
  <mergeCells count="16">
    <mergeCell ref="A50:B50"/>
    <mergeCell ref="A48:B48"/>
    <mergeCell ref="A47:B47"/>
    <mergeCell ref="A49:B49"/>
    <mergeCell ref="A4:B4"/>
    <mergeCell ref="A5:B5"/>
    <mergeCell ref="A6:B6"/>
    <mergeCell ref="A7:B7"/>
    <mergeCell ref="A34:B34"/>
    <mergeCell ref="A35:B35"/>
    <mergeCell ref="A36:B36"/>
    <mergeCell ref="A37:B37"/>
    <mergeCell ref="A23:B23"/>
    <mergeCell ref="A24:B24"/>
    <mergeCell ref="A25:B25"/>
    <mergeCell ref="A26:B26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9" max="1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9"/>
  <sheetViews>
    <sheetView zoomScaleNormal="100" workbookViewId="0">
      <selection activeCell="C14" sqref="C14"/>
    </sheetView>
  </sheetViews>
  <sheetFormatPr baseColWidth="10" defaultColWidth="9.140625" defaultRowHeight="24.75" customHeight="1" x14ac:dyDescent="0.25"/>
  <cols>
    <col min="1" max="1" width="45.7109375" style="1" customWidth="1"/>
    <col min="2" max="2" width="23.42578125" style="1" customWidth="1"/>
    <col min="3" max="3" width="9.140625" style="1"/>
    <col min="4" max="4" width="19" style="1" bestFit="1" customWidth="1"/>
    <col min="5" max="16384" width="9.140625" style="1"/>
  </cols>
  <sheetData>
    <row r="2" spans="1:4" ht="24.75" customHeight="1" x14ac:dyDescent="0.25">
      <c r="A2" s="539"/>
      <c r="B2" s="539"/>
    </row>
    <row r="3" spans="1:4" ht="24.75" customHeight="1" x14ac:dyDescent="0.25">
      <c r="A3" s="539" t="s">
        <v>801</v>
      </c>
      <c r="B3" s="539"/>
    </row>
    <row r="4" spans="1:4" ht="24.75" customHeight="1" x14ac:dyDescent="0.25">
      <c r="A4" s="539" t="s">
        <v>280</v>
      </c>
      <c r="B4" s="539"/>
    </row>
    <row r="5" spans="1:4" ht="24.75" customHeight="1" x14ac:dyDescent="0.25">
      <c r="A5" s="539" t="s">
        <v>802</v>
      </c>
      <c r="B5" s="539"/>
    </row>
    <row r="6" spans="1:4" ht="24.75" customHeight="1" x14ac:dyDescent="0.25">
      <c r="A6" s="551">
        <v>45626</v>
      </c>
      <c r="B6" s="551"/>
    </row>
    <row r="7" spans="1:4" ht="24.75" customHeight="1" thickBot="1" x14ac:dyDescent="0.3"/>
    <row r="8" spans="1:4" ht="24.75" customHeight="1" thickBot="1" x14ac:dyDescent="0.3">
      <c r="A8" s="73" t="s">
        <v>266</v>
      </c>
      <c r="B8" s="75" t="s">
        <v>283</v>
      </c>
    </row>
    <row r="9" spans="1:4" ht="24.75" customHeight="1" x14ac:dyDescent="0.25">
      <c r="A9" s="62" t="s">
        <v>803</v>
      </c>
      <c r="B9" s="117">
        <v>33801721.299999997</v>
      </c>
      <c r="D9" s="371"/>
    </row>
    <row r="10" spans="1:4" ht="24.75" hidden="1" customHeight="1" x14ac:dyDescent="0.4">
      <c r="A10" s="62" t="s">
        <v>804</v>
      </c>
      <c r="B10" s="250"/>
      <c r="D10" s="371"/>
    </row>
    <row r="11" spans="1:4" ht="24.75" customHeight="1" x14ac:dyDescent="0.4">
      <c r="A11" s="62" t="s">
        <v>117</v>
      </c>
      <c r="B11" s="250">
        <v>20000000</v>
      </c>
      <c r="D11" s="371"/>
    </row>
    <row r="12" spans="1:4" ht="24.75" customHeight="1" x14ac:dyDescent="0.4">
      <c r="A12" s="251" t="s">
        <v>551</v>
      </c>
      <c r="B12" s="93">
        <f>SUM(B9:B11)</f>
        <v>53801721.299999997</v>
      </c>
      <c r="D12" s="20"/>
    </row>
    <row r="13" spans="1:4" ht="24.75" customHeight="1" x14ac:dyDescent="0.25">
      <c r="A13" s="123"/>
      <c r="B13" s="123"/>
    </row>
    <row r="15" spans="1:4" ht="24.75" customHeight="1" x14ac:dyDescent="0.25">
      <c r="B15" s="398"/>
    </row>
    <row r="17" spans="1:2" ht="24.75" customHeight="1" x14ac:dyDescent="0.25">
      <c r="B17" s="2"/>
    </row>
    <row r="19" spans="1:2" ht="24.75" customHeight="1" x14ac:dyDescent="0.25">
      <c r="A19" s="539"/>
      <c r="B19" s="539"/>
    </row>
  </sheetData>
  <mergeCells count="6">
    <mergeCell ref="A19:B19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topLeftCell="A7" zoomScale="140" zoomScaleNormal="140" workbookViewId="0">
      <selection activeCell="C14" sqref="C14"/>
    </sheetView>
  </sheetViews>
  <sheetFormatPr baseColWidth="10" defaultColWidth="11.42578125" defaultRowHeight="12.75" x14ac:dyDescent="0.2"/>
  <sheetData>
    <row r="1" spans="1:2" x14ac:dyDescent="0.2">
      <c r="B1" t="s">
        <v>805</v>
      </c>
    </row>
    <row r="3" spans="1:2" x14ac:dyDescent="0.2">
      <c r="A3">
        <v>1</v>
      </c>
      <c r="B3" t="s">
        <v>806</v>
      </c>
    </row>
    <row r="4" spans="1:2" x14ac:dyDescent="0.2">
      <c r="A4">
        <v>2</v>
      </c>
      <c r="B4" t="s">
        <v>807</v>
      </c>
    </row>
    <row r="5" spans="1:2" x14ac:dyDescent="0.2">
      <c r="A5">
        <v>3</v>
      </c>
      <c r="B5" t="s">
        <v>808</v>
      </c>
    </row>
    <row r="6" spans="1:2" x14ac:dyDescent="0.2">
      <c r="A6">
        <v>4</v>
      </c>
      <c r="B6" t="s">
        <v>809</v>
      </c>
    </row>
    <row r="7" spans="1:2" x14ac:dyDescent="0.2">
      <c r="A7">
        <v>5</v>
      </c>
      <c r="B7" t="s">
        <v>810</v>
      </c>
    </row>
    <row r="8" spans="1:2" x14ac:dyDescent="0.2">
      <c r="A8">
        <v>6</v>
      </c>
      <c r="B8" t="s">
        <v>811</v>
      </c>
    </row>
    <row r="9" spans="1:2" x14ac:dyDescent="0.2">
      <c r="A9">
        <v>7</v>
      </c>
      <c r="B9" t="s">
        <v>812</v>
      </c>
    </row>
    <row r="10" spans="1:2" x14ac:dyDescent="0.2">
      <c r="A10">
        <v>8</v>
      </c>
      <c r="B10" s="309" t="s">
        <v>813</v>
      </c>
    </row>
    <row r="11" spans="1:2" x14ac:dyDescent="0.2">
      <c r="A11">
        <v>9</v>
      </c>
      <c r="B11" t="s">
        <v>814</v>
      </c>
    </row>
    <row r="12" spans="1:2" x14ac:dyDescent="0.2">
      <c r="A12">
        <v>10</v>
      </c>
      <c r="B12" t="s">
        <v>815</v>
      </c>
    </row>
    <row r="13" spans="1:2" x14ac:dyDescent="0.2">
      <c r="A13">
        <v>11</v>
      </c>
      <c r="B13" s="309" t="s">
        <v>816</v>
      </c>
    </row>
    <row r="14" spans="1:2" x14ac:dyDescent="0.2">
      <c r="A14">
        <v>12</v>
      </c>
      <c r="B14" t="s">
        <v>817</v>
      </c>
    </row>
    <row r="16" spans="1:2" x14ac:dyDescent="0.2">
      <c r="B16" t="s">
        <v>818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N206"/>
  <sheetViews>
    <sheetView view="pageBreakPreview" topLeftCell="A33" zoomScale="90" zoomScaleNormal="100" zoomScaleSheetLayoutView="90" workbookViewId="0">
      <selection activeCell="D50" sqref="D50"/>
    </sheetView>
  </sheetViews>
  <sheetFormatPr baseColWidth="10" defaultColWidth="11.5703125" defaultRowHeight="15.75" x14ac:dyDescent="0.25"/>
  <cols>
    <col min="1" max="1" width="4.5703125" style="1" customWidth="1"/>
    <col min="2" max="2" width="74.140625" style="1" customWidth="1"/>
    <col min="3" max="3" width="14.28515625" style="19" customWidth="1"/>
    <col min="4" max="5" width="23.42578125" style="52" bestFit="1" customWidth="1"/>
    <col min="6" max="6" width="25.85546875" style="52" customWidth="1"/>
    <col min="7" max="7" width="2.5703125" style="1" customWidth="1"/>
    <col min="8" max="8" width="28.42578125" style="1" customWidth="1"/>
    <col min="9" max="9" width="15.85546875" style="1" bestFit="1" customWidth="1"/>
    <col min="10" max="10" width="11.5703125" style="1"/>
    <col min="11" max="11" width="13.5703125" style="1" customWidth="1"/>
    <col min="12" max="12" width="12.85546875" style="1" bestFit="1" customWidth="1"/>
    <col min="13" max="13" width="11.5703125" style="1"/>
    <col min="14" max="14" width="13.5703125" style="1" customWidth="1"/>
    <col min="15" max="16384" width="11.5703125" style="1"/>
  </cols>
  <sheetData>
    <row r="2" spans="2:6" ht="27" customHeight="1" x14ac:dyDescent="0.25"/>
    <row r="4" spans="2:6" s="7" customFormat="1" ht="24.75" customHeight="1" x14ac:dyDescent="0.3">
      <c r="B4" s="49" t="s">
        <v>158</v>
      </c>
      <c r="C4" s="348"/>
      <c r="D4" s="5"/>
      <c r="E4" s="5"/>
      <c r="F4" s="5"/>
    </row>
    <row r="5" spans="2:6" s="7" customFormat="1" ht="24.75" customHeight="1" x14ac:dyDescent="0.3">
      <c r="B5" s="49" t="s">
        <v>848</v>
      </c>
      <c r="C5" s="348"/>
      <c r="D5" s="5"/>
      <c r="E5" s="5"/>
      <c r="F5" s="5"/>
    </row>
    <row r="6" spans="2:6" s="7" customFormat="1" ht="24.75" customHeight="1" x14ac:dyDescent="0.3">
      <c r="B6" s="49" t="s">
        <v>66</v>
      </c>
      <c r="C6" s="348"/>
      <c r="D6" s="5"/>
      <c r="E6" s="5"/>
      <c r="F6" s="5"/>
    </row>
    <row r="7" spans="2:6" s="7" customFormat="1" ht="18.75" x14ac:dyDescent="0.3">
      <c r="C7" s="348"/>
      <c r="D7" s="5"/>
      <c r="E7" s="5"/>
      <c r="F7" s="5"/>
    </row>
    <row r="8" spans="2:6" s="7" customFormat="1" ht="37.5" customHeight="1" x14ac:dyDescent="0.3">
      <c r="C8" s="349" t="s">
        <v>4</v>
      </c>
      <c r="D8" s="349" t="s">
        <v>159</v>
      </c>
      <c r="E8" s="349" t="s">
        <v>160</v>
      </c>
      <c r="F8" s="349" t="s">
        <v>7</v>
      </c>
    </row>
    <row r="9" spans="2:6" x14ac:dyDescent="0.25">
      <c r="C9" s="350"/>
      <c r="D9" s="56"/>
      <c r="E9" s="56"/>
      <c r="F9" s="56"/>
    </row>
    <row r="10" spans="2:6" ht="20.100000000000001" customHeight="1" x14ac:dyDescent="0.25">
      <c r="C10" s="350" t="s">
        <v>76</v>
      </c>
      <c r="D10" s="48"/>
      <c r="E10" s="48"/>
      <c r="F10" s="48"/>
    </row>
    <row r="11" spans="2:6" s="445" customFormat="1" ht="24.75" customHeight="1" x14ac:dyDescent="0.2">
      <c r="B11" s="441" t="s">
        <v>161</v>
      </c>
      <c r="C11" s="442">
        <v>15</v>
      </c>
      <c r="D11" s="443"/>
      <c r="E11" s="444"/>
      <c r="F11" s="444"/>
    </row>
    <row r="12" spans="2:6" ht="20.100000000000001" customHeight="1" x14ac:dyDescent="0.25">
      <c r="B12" s="1" t="s">
        <v>162</v>
      </c>
      <c r="C12" s="350"/>
      <c r="D12" s="52">
        <v>1504871588.6700001</v>
      </c>
      <c r="E12" s="48">
        <v>63343103.200000003</v>
      </c>
      <c r="F12" s="48">
        <f>D12-E12</f>
        <v>1441528485.47</v>
      </c>
    </row>
    <row r="13" spans="2:6" ht="20.100000000000001" customHeight="1" x14ac:dyDescent="0.25">
      <c r="B13" s="351" t="s">
        <v>163</v>
      </c>
      <c r="C13" s="350"/>
      <c r="D13" s="52">
        <v>694079344.38999999</v>
      </c>
      <c r="E13" s="48">
        <v>129310225.03</v>
      </c>
      <c r="F13" s="48">
        <f>D13-E13</f>
        <v>564769119.36000001</v>
      </c>
    </row>
    <row r="14" spans="2:6" ht="20.100000000000001" customHeight="1" x14ac:dyDescent="0.25">
      <c r="B14" s="351" t="s">
        <v>164</v>
      </c>
      <c r="C14" s="350"/>
      <c r="D14" s="52">
        <v>664354575.34000003</v>
      </c>
      <c r="E14" s="48">
        <v>208996907.16999999</v>
      </c>
      <c r="F14" s="48">
        <f>D14-E14</f>
        <v>455357668.17000008</v>
      </c>
    </row>
    <row r="15" spans="2:6" ht="15.75" customHeight="1" x14ac:dyDescent="0.25">
      <c r="C15" s="327" t="s">
        <v>165</v>
      </c>
      <c r="E15" s="48"/>
      <c r="F15" s="48"/>
    </row>
    <row r="16" spans="2:6" s="445" customFormat="1" ht="41.25" customHeight="1" x14ac:dyDescent="0.2">
      <c r="B16" s="446" t="s">
        <v>166</v>
      </c>
      <c r="C16" s="442"/>
      <c r="D16" s="447">
        <f>SUM(D12:D15)</f>
        <v>2863305508.4000001</v>
      </c>
      <c r="E16" s="448">
        <f>SUM(E12:E15)</f>
        <v>401650235.39999998</v>
      </c>
      <c r="F16" s="448">
        <f>SUM(F12:F15)</f>
        <v>2461655273</v>
      </c>
    </row>
    <row r="17" spans="2:8" ht="20.100000000000001" customHeight="1" x14ac:dyDescent="0.25">
      <c r="C17" s="350" t="s">
        <v>76</v>
      </c>
      <c r="E17" s="48"/>
      <c r="F17" s="48"/>
    </row>
    <row r="18" spans="2:8" ht="20.100000000000001" customHeight="1" x14ac:dyDescent="0.25">
      <c r="C18" s="350" t="s">
        <v>76</v>
      </c>
      <c r="D18" s="457"/>
      <c r="E18" s="48"/>
      <c r="F18" s="48"/>
    </row>
    <row r="19" spans="2:8" s="445" customFormat="1" ht="24.75" customHeight="1" x14ac:dyDescent="0.2">
      <c r="B19" s="441" t="s">
        <v>167</v>
      </c>
      <c r="C19" s="442">
        <v>16</v>
      </c>
      <c r="D19" s="443"/>
      <c r="E19" s="444"/>
      <c r="F19" s="444"/>
    </row>
    <row r="20" spans="2:8" ht="20.100000000000001" customHeight="1" x14ac:dyDescent="0.25">
      <c r="B20" s="1" t="s">
        <v>168</v>
      </c>
      <c r="C20" s="350"/>
      <c r="D20" s="286">
        <v>178126909.71000001</v>
      </c>
      <c r="E20" s="286">
        <v>162779622.37</v>
      </c>
      <c r="F20" s="48">
        <f>D20-E20</f>
        <v>15347287.340000004</v>
      </c>
      <c r="H20" s="20"/>
    </row>
    <row r="21" spans="2:8" ht="20.100000000000001" customHeight="1" x14ac:dyDescent="0.25">
      <c r="C21" s="327" t="s">
        <v>165</v>
      </c>
      <c r="E21" s="48"/>
      <c r="F21" s="48"/>
    </row>
    <row r="22" spans="2:8" s="441" customFormat="1" ht="24.75" customHeight="1" x14ac:dyDescent="0.2">
      <c r="B22" s="441" t="s">
        <v>169</v>
      </c>
      <c r="C22" s="442"/>
      <c r="D22" s="447">
        <f>SUM(D20:D20)</f>
        <v>178126909.71000001</v>
      </c>
      <c r="E22" s="448">
        <f>SUM(E20:E20)</f>
        <v>162779622.37</v>
      </c>
      <c r="F22" s="448">
        <f>SUM(F20:F20)</f>
        <v>15347287.340000004</v>
      </c>
    </row>
    <row r="23" spans="2:8" ht="20.100000000000001" customHeight="1" x14ac:dyDescent="0.25">
      <c r="C23" s="350" t="s">
        <v>76</v>
      </c>
      <c r="D23" s="286"/>
      <c r="E23" s="48"/>
      <c r="F23" s="48"/>
    </row>
    <row r="24" spans="2:8" ht="20.100000000000001" customHeight="1" x14ac:dyDescent="0.25">
      <c r="C24" s="350" t="s">
        <v>76</v>
      </c>
      <c r="E24" s="48"/>
      <c r="F24" s="48"/>
    </row>
    <row r="25" spans="2:8" s="445" customFormat="1" ht="24.75" customHeight="1" x14ac:dyDescent="0.2">
      <c r="B25" s="441" t="s">
        <v>170</v>
      </c>
      <c r="C25" s="442">
        <v>17</v>
      </c>
      <c r="D25" s="443"/>
      <c r="E25" s="444"/>
      <c r="F25" s="444"/>
    </row>
    <row r="26" spans="2:8" ht="20.100000000000001" customHeight="1" x14ac:dyDescent="0.25">
      <c r="B26" s="1" t="s">
        <v>171</v>
      </c>
      <c r="C26" s="350" t="s">
        <v>76</v>
      </c>
      <c r="D26" s="286">
        <v>4686276.43</v>
      </c>
      <c r="E26" s="286">
        <v>1354073.12</v>
      </c>
      <c r="F26" s="48">
        <f>D26-E26</f>
        <v>3332203.3099999996</v>
      </c>
    </row>
    <row r="27" spans="2:8" ht="20.100000000000001" customHeight="1" x14ac:dyDescent="0.25">
      <c r="C27" s="327" t="s">
        <v>165</v>
      </c>
      <c r="E27" s="48"/>
      <c r="F27" s="48"/>
    </row>
    <row r="28" spans="2:8" s="441" customFormat="1" ht="24.75" customHeight="1" x14ac:dyDescent="0.2">
      <c r="B28" s="441" t="s">
        <v>172</v>
      </c>
      <c r="C28" s="442"/>
      <c r="D28" s="447">
        <f>SUM(D26:D26)</f>
        <v>4686276.43</v>
      </c>
      <c r="E28" s="448">
        <f>SUM(E26:E26)</f>
        <v>1354073.12</v>
      </c>
      <c r="F28" s="448">
        <f>SUM(F26:F26)</f>
        <v>3332203.3099999996</v>
      </c>
    </row>
    <row r="29" spans="2:8" ht="20.100000000000001" customHeight="1" x14ac:dyDescent="0.25">
      <c r="C29" s="350" t="s">
        <v>76</v>
      </c>
      <c r="E29" s="48"/>
      <c r="F29" s="48"/>
    </row>
    <row r="30" spans="2:8" ht="20.100000000000001" customHeight="1" x14ac:dyDescent="0.25">
      <c r="C30" s="350" t="s">
        <v>76</v>
      </c>
      <c r="E30" s="48"/>
      <c r="F30" s="48"/>
    </row>
    <row r="31" spans="2:8" s="445" customFormat="1" ht="24.75" customHeight="1" x14ac:dyDescent="0.2">
      <c r="B31" s="441" t="s">
        <v>173</v>
      </c>
      <c r="C31" s="442">
        <v>18</v>
      </c>
      <c r="D31" s="443"/>
      <c r="E31" s="444"/>
      <c r="F31" s="444"/>
    </row>
    <row r="32" spans="2:8" ht="20.100000000000001" customHeight="1" x14ac:dyDescent="0.25">
      <c r="B32" s="1" t="s">
        <v>174</v>
      </c>
      <c r="C32" s="350" t="s">
        <v>76</v>
      </c>
      <c r="D32" s="286">
        <v>92128636.670000002</v>
      </c>
      <c r="E32" s="286">
        <v>83744866.670000002</v>
      </c>
      <c r="F32" s="48">
        <f t="shared" ref="F32:F49" si="0">D32-E32</f>
        <v>8383770</v>
      </c>
    </row>
    <row r="33" spans="2:6" ht="20.100000000000001" customHeight="1" x14ac:dyDescent="0.25">
      <c r="B33" s="1" t="s">
        <v>175</v>
      </c>
      <c r="C33" s="350"/>
      <c r="D33" s="286">
        <v>48205.16</v>
      </c>
      <c r="E33" s="286">
        <v>48205.16</v>
      </c>
      <c r="F33" s="48">
        <f t="shared" si="0"/>
        <v>0</v>
      </c>
    </row>
    <row r="34" spans="2:6" ht="20.100000000000001" customHeight="1" x14ac:dyDescent="0.25">
      <c r="B34" s="1" t="s">
        <v>176</v>
      </c>
      <c r="C34" s="350" t="s">
        <v>76</v>
      </c>
      <c r="D34" s="286">
        <v>5636090.79</v>
      </c>
      <c r="E34" s="286">
        <v>5127585.79</v>
      </c>
      <c r="F34" s="48">
        <f t="shared" si="0"/>
        <v>508505</v>
      </c>
    </row>
    <row r="35" spans="2:6" ht="20.100000000000001" customHeight="1" x14ac:dyDescent="0.25">
      <c r="B35" s="1" t="s">
        <v>177</v>
      </c>
      <c r="C35" s="350"/>
      <c r="D35" s="286">
        <v>282533.81</v>
      </c>
      <c r="E35" s="286">
        <v>162182.66</v>
      </c>
      <c r="F35" s="48">
        <f t="shared" si="0"/>
        <v>120351.15</v>
      </c>
    </row>
    <row r="36" spans="2:6" ht="20.100000000000001" customHeight="1" x14ac:dyDescent="0.25">
      <c r="B36" s="1" t="s">
        <v>178</v>
      </c>
      <c r="C36" s="350"/>
      <c r="D36" s="286">
        <v>7700000</v>
      </c>
      <c r="E36" s="286">
        <v>7000000</v>
      </c>
      <c r="F36" s="48">
        <f t="shared" si="0"/>
        <v>700000</v>
      </c>
    </row>
    <row r="37" spans="2:6" ht="20.100000000000001" customHeight="1" x14ac:dyDescent="0.25">
      <c r="B37" s="1" t="s">
        <v>179</v>
      </c>
      <c r="C37" s="350" t="s">
        <v>76</v>
      </c>
      <c r="D37" s="286">
        <v>5712919.9800000004</v>
      </c>
      <c r="E37" s="286">
        <v>5235059.9800000004</v>
      </c>
      <c r="F37" s="48">
        <f t="shared" si="0"/>
        <v>477860</v>
      </c>
    </row>
    <row r="38" spans="2:6" ht="20.100000000000001" customHeight="1" x14ac:dyDescent="0.25">
      <c r="B38" s="1" t="s">
        <v>180</v>
      </c>
      <c r="C38" s="350"/>
      <c r="D38" s="286">
        <v>9470000</v>
      </c>
      <c r="E38" s="286">
        <v>8600000</v>
      </c>
      <c r="F38" s="48">
        <f t="shared" si="0"/>
        <v>870000</v>
      </c>
    </row>
    <row r="39" spans="2:6" ht="20.100000000000001" customHeight="1" x14ac:dyDescent="0.25">
      <c r="B39" s="1" t="s">
        <v>181</v>
      </c>
      <c r="C39" s="350"/>
      <c r="D39" s="286">
        <v>1545838.05</v>
      </c>
      <c r="E39" s="286">
        <v>431233</v>
      </c>
      <c r="F39" s="48">
        <f t="shared" si="0"/>
        <v>1114605.05</v>
      </c>
    </row>
    <row r="40" spans="2:6" ht="20.100000000000001" customHeight="1" x14ac:dyDescent="0.25">
      <c r="B40" s="1" t="s">
        <v>182</v>
      </c>
      <c r="C40" s="350"/>
      <c r="D40" s="286">
        <v>246620</v>
      </c>
      <c r="E40" s="286">
        <v>224200</v>
      </c>
      <c r="F40" s="48">
        <f t="shared" si="0"/>
        <v>22420</v>
      </c>
    </row>
    <row r="41" spans="2:6" ht="20.100000000000001" customHeight="1" x14ac:dyDescent="0.25">
      <c r="B41" s="1" t="s">
        <v>183</v>
      </c>
      <c r="C41" s="350"/>
      <c r="D41" s="286">
        <v>350000.01</v>
      </c>
      <c r="E41" s="286">
        <v>350000.01</v>
      </c>
      <c r="F41" s="48">
        <f t="shared" si="0"/>
        <v>0</v>
      </c>
    </row>
    <row r="42" spans="2:6" ht="20.100000000000001" customHeight="1" x14ac:dyDescent="0.25">
      <c r="B42" s="1" t="s">
        <v>184</v>
      </c>
      <c r="C42" s="350"/>
      <c r="D42" s="286">
        <v>283179.37</v>
      </c>
      <c r="E42" s="286">
        <v>255761.53</v>
      </c>
      <c r="F42" s="48">
        <f t="shared" si="0"/>
        <v>27417.839999999997</v>
      </c>
    </row>
    <row r="43" spans="2:6" ht="20.100000000000001" customHeight="1" x14ac:dyDescent="0.25">
      <c r="B43" s="1" t="s">
        <v>185</v>
      </c>
      <c r="C43" s="350" t="s">
        <v>76</v>
      </c>
      <c r="D43" s="286">
        <v>8882588.3200000003</v>
      </c>
      <c r="E43" s="286">
        <v>8075098.3200000003</v>
      </c>
      <c r="F43" s="48">
        <f t="shared" si="0"/>
        <v>807490</v>
      </c>
    </row>
    <row r="44" spans="2:6" ht="20.100000000000001" customHeight="1" x14ac:dyDescent="0.25">
      <c r="B44" s="1" t="s">
        <v>186</v>
      </c>
      <c r="C44" s="350" t="s">
        <v>76</v>
      </c>
      <c r="D44" s="286">
        <v>40692025</v>
      </c>
      <c r="E44" s="286">
        <v>36992750</v>
      </c>
      <c r="F44" s="48">
        <f t="shared" si="0"/>
        <v>3699275</v>
      </c>
    </row>
    <row r="45" spans="2:6" ht="20.100000000000001" customHeight="1" x14ac:dyDescent="0.25">
      <c r="B45" s="1" t="s">
        <v>187</v>
      </c>
      <c r="C45" s="350" t="s">
        <v>76</v>
      </c>
      <c r="D45" s="286">
        <v>1339375</v>
      </c>
      <c r="E45" s="286">
        <v>1339375</v>
      </c>
      <c r="F45" s="48">
        <f t="shared" si="0"/>
        <v>0</v>
      </c>
    </row>
    <row r="46" spans="2:6" ht="20.100000000000001" customHeight="1" x14ac:dyDescent="0.25">
      <c r="B46" s="1" t="s">
        <v>188</v>
      </c>
      <c r="C46" s="350" t="s">
        <v>76</v>
      </c>
      <c r="D46" s="286">
        <v>8022972.4100000001</v>
      </c>
      <c r="E46" s="286">
        <v>7576629.54</v>
      </c>
      <c r="F46" s="48">
        <f t="shared" si="0"/>
        <v>446342.87000000011</v>
      </c>
    </row>
    <row r="47" spans="2:6" ht="20.100000000000001" customHeight="1" x14ac:dyDescent="0.25">
      <c r="B47" s="1" t="s">
        <v>189</v>
      </c>
      <c r="C47" s="350" t="s">
        <v>76</v>
      </c>
      <c r="D47" s="286">
        <v>10000</v>
      </c>
      <c r="E47" s="286">
        <v>10000</v>
      </c>
      <c r="F47" s="48">
        <f t="shared" si="0"/>
        <v>0</v>
      </c>
    </row>
    <row r="48" spans="2:6" ht="20.100000000000001" customHeight="1" x14ac:dyDescent="0.25">
      <c r="B48" s="1" t="s">
        <v>190</v>
      </c>
      <c r="C48" s="350" t="s">
        <v>76</v>
      </c>
      <c r="D48" s="286">
        <v>3499759.59</v>
      </c>
      <c r="E48" s="286">
        <v>3181176.33</v>
      </c>
      <c r="F48" s="48">
        <f t="shared" si="0"/>
        <v>318583.25999999978</v>
      </c>
    </row>
    <row r="49" spans="2:8" ht="20.100000000000001" customHeight="1" x14ac:dyDescent="0.25">
      <c r="B49" s="1" t="s">
        <v>191</v>
      </c>
      <c r="C49" s="350" t="s">
        <v>76</v>
      </c>
      <c r="D49" s="286">
        <f>12497243.3+1575.1</f>
        <v>12498818.4</v>
      </c>
      <c r="E49" s="286">
        <v>11358750.689999999</v>
      </c>
      <c r="F49" s="48">
        <f t="shared" si="0"/>
        <v>1140067.7100000009</v>
      </c>
    </row>
    <row r="50" spans="2:8" ht="20.100000000000001" customHeight="1" x14ac:dyDescent="0.25">
      <c r="C50" s="327" t="s">
        <v>165</v>
      </c>
      <c r="E50" s="48"/>
      <c r="F50" s="48"/>
    </row>
    <row r="51" spans="2:8" s="441" customFormat="1" ht="24.75" customHeight="1" x14ac:dyDescent="0.2">
      <c r="B51" s="441" t="s">
        <v>192</v>
      </c>
      <c r="C51" s="442"/>
      <c r="D51" s="447">
        <f>SUM(D32:D49)</f>
        <v>198349562.56000003</v>
      </c>
      <c r="E51" s="447">
        <f>SUM(E32:E49)</f>
        <v>179712874.68000001</v>
      </c>
      <c r="F51" s="447">
        <f>SUM(F32:F49)</f>
        <v>18636687.880000003</v>
      </c>
    </row>
    <row r="52" spans="2:8" ht="20.100000000000001" customHeight="1" x14ac:dyDescent="0.25">
      <c r="C52" s="350" t="s">
        <v>76</v>
      </c>
      <c r="D52" s="286"/>
      <c r="E52" s="48"/>
      <c r="F52" s="48"/>
    </row>
    <row r="53" spans="2:8" ht="20.100000000000001" customHeight="1" x14ac:dyDescent="0.25">
      <c r="C53" s="350" t="s">
        <v>76</v>
      </c>
      <c r="D53" s="286"/>
      <c r="E53" s="48"/>
      <c r="F53" s="48"/>
    </row>
    <row r="54" spans="2:8" s="445" customFormat="1" ht="24.75" customHeight="1" x14ac:dyDescent="0.2">
      <c r="B54" s="441" t="s">
        <v>193</v>
      </c>
      <c r="C54" s="442">
        <v>19</v>
      </c>
      <c r="D54" s="443"/>
      <c r="E54" s="444"/>
      <c r="F54" s="444"/>
      <c r="H54" s="449"/>
    </row>
    <row r="55" spans="2:8" ht="20.100000000000001" customHeight="1" x14ac:dyDescent="0.25">
      <c r="B55" s="1" t="s">
        <v>194</v>
      </c>
      <c r="C55" s="350" t="s">
        <v>76</v>
      </c>
      <c r="D55" s="286">
        <v>1742242.82</v>
      </c>
      <c r="E55" s="286">
        <v>1582866.23</v>
      </c>
      <c r="F55" s="48">
        <f>D55-E55</f>
        <v>159376.59000000008</v>
      </c>
    </row>
    <row r="56" spans="2:8" ht="20.100000000000001" customHeight="1" x14ac:dyDescent="0.25">
      <c r="B56" s="1" t="s">
        <v>195</v>
      </c>
      <c r="C56" s="350" t="s">
        <v>76</v>
      </c>
      <c r="D56" s="286">
        <v>1848984.26</v>
      </c>
      <c r="E56" s="286">
        <v>1673731.6</v>
      </c>
      <c r="F56" s="48">
        <f t="shared" ref="F56:F86" si="1">D56-E56</f>
        <v>175252.65999999992</v>
      </c>
    </row>
    <row r="57" spans="2:8" ht="20.100000000000001" customHeight="1" x14ac:dyDescent="0.25">
      <c r="B57" s="1" t="s">
        <v>196</v>
      </c>
      <c r="C57" s="350" t="s">
        <v>76</v>
      </c>
      <c r="D57" s="286">
        <v>6540716.9400000004</v>
      </c>
      <c r="E57" s="286">
        <v>3051569.25</v>
      </c>
      <c r="F57" s="48">
        <f t="shared" si="1"/>
        <v>3489147.6900000004</v>
      </c>
    </row>
    <row r="58" spans="2:8" ht="20.100000000000001" customHeight="1" x14ac:dyDescent="0.25">
      <c r="B58" s="1" t="s">
        <v>197</v>
      </c>
      <c r="C58" s="350" t="s">
        <v>76</v>
      </c>
      <c r="D58" s="286">
        <v>230518.73</v>
      </c>
      <c r="E58" s="286">
        <v>120724.05</v>
      </c>
      <c r="F58" s="48">
        <f t="shared" si="1"/>
        <v>109794.68000000001</v>
      </c>
    </row>
    <row r="59" spans="2:8" ht="20.100000000000001" customHeight="1" x14ac:dyDescent="0.25">
      <c r="B59" s="1" t="s">
        <v>198</v>
      </c>
      <c r="C59" s="350" t="s">
        <v>76</v>
      </c>
      <c r="D59" s="286">
        <v>720067.15</v>
      </c>
      <c r="E59" s="286">
        <v>612869.98</v>
      </c>
      <c r="F59" s="48">
        <f t="shared" si="1"/>
        <v>107197.17000000004</v>
      </c>
    </row>
    <row r="60" spans="2:8" ht="20.100000000000001" customHeight="1" x14ac:dyDescent="0.25">
      <c r="B60" s="1" t="s">
        <v>199</v>
      </c>
      <c r="C60" s="350" t="s">
        <v>76</v>
      </c>
      <c r="D60" s="286">
        <v>105650.28</v>
      </c>
      <c r="E60" s="286">
        <v>45543.19</v>
      </c>
      <c r="F60" s="48">
        <f t="shared" si="1"/>
        <v>60107.09</v>
      </c>
    </row>
    <row r="61" spans="2:8" ht="20.100000000000001" customHeight="1" x14ac:dyDescent="0.25">
      <c r="B61" s="1" t="s">
        <v>200</v>
      </c>
      <c r="C61" s="350"/>
      <c r="D61" s="286">
        <v>70800</v>
      </c>
      <c r="E61" s="286">
        <v>70800</v>
      </c>
      <c r="F61" s="48">
        <f>D61-E61</f>
        <v>0</v>
      </c>
    </row>
    <row r="62" spans="2:8" ht="20.100000000000001" customHeight="1" x14ac:dyDescent="0.25">
      <c r="B62" s="1" t="s">
        <v>201</v>
      </c>
      <c r="C62" s="350"/>
      <c r="D62" s="286">
        <v>2570</v>
      </c>
      <c r="E62" s="286">
        <v>2570</v>
      </c>
      <c r="F62" s="48">
        <f t="shared" si="1"/>
        <v>0</v>
      </c>
    </row>
    <row r="63" spans="2:8" ht="20.100000000000001" customHeight="1" x14ac:dyDescent="0.25">
      <c r="B63" s="1" t="s">
        <v>202</v>
      </c>
      <c r="C63" s="350"/>
      <c r="D63" s="286">
        <v>140788.09</v>
      </c>
      <c r="E63" s="286">
        <v>140788.09</v>
      </c>
      <c r="F63" s="48">
        <f t="shared" si="1"/>
        <v>0</v>
      </c>
    </row>
    <row r="64" spans="2:8" ht="20.100000000000001" customHeight="1" x14ac:dyDescent="0.25">
      <c r="B64" s="1" t="s">
        <v>203</v>
      </c>
      <c r="C64" s="350"/>
      <c r="D64" s="286">
        <v>1240652.6599999999</v>
      </c>
      <c r="E64" s="286">
        <v>1240652.6599999999</v>
      </c>
      <c r="F64" s="48">
        <f t="shared" ref="F64" si="2">D64-E64</f>
        <v>0</v>
      </c>
    </row>
    <row r="65" spans="2:6" ht="20.100000000000001" customHeight="1" x14ac:dyDescent="0.25">
      <c r="B65" s="1" t="s">
        <v>204</v>
      </c>
      <c r="C65" s="350"/>
      <c r="D65" s="286">
        <v>4022.1</v>
      </c>
      <c r="E65" s="286">
        <v>4022.1</v>
      </c>
      <c r="F65" s="48">
        <f t="shared" si="1"/>
        <v>0</v>
      </c>
    </row>
    <row r="66" spans="2:6" ht="20.100000000000001" customHeight="1" x14ac:dyDescent="0.25">
      <c r="B66" s="1" t="s">
        <v>205</v>
      </c>
      <c r="C66" s="350"/>
      <c r="D66" s="286">
        <v>41230</v>
      </c>
      <c r="E66" s="286">
        <v>41230</v>
      </c>
      <c r="F66" s="48">
        <f t="shared" si="1"/>
        <v>0</v>
      </c>
    </row>
    <row r="67" spans="2:6" ht="20.100000000000001" customHeight="1" x14ac:dyDescent="0.25">
      <c r="B67" s="1" t="s">
        <v>206</v>
      </c>
      <c r="C67" s="350"/>
      <c r="D67" s="286">
        <v>758643.24</v>
      </c>
      <c r="E67" s="286">
        <v>675305.74</v>
      </c>
      <c r="F67" s="48">
        <f t="shared" si="1"/>
        <v>83337.5</v>
      </c>
    </row>
    <row r="68" spans="2:6" ht="20.100000000000001" customHeight="1" x14ac:dyDescent="0.25">
      <c r="B68" s="1" t="s">
        <v>207</v>
      </c>
      <c r="C68" s="350"/>
      <c r="D68" s="286">
        <v>897896.06</v>
      </c>
      <c r="E68" s="286">
        <v>815675.44</v>
      </c>
      <c r="F68" s="48">
        <f t="shared" si="1"/>
        <v>82220.620000000112</v>
      </c>
    </row>
    <row r="69" spans="2:6" ht="20.100000000000001" customHeight="1" x14ac:dyDescent="0.25">
      <c r="B69" s="1" t="s">
        <v>208</v>
      </c>
      <c r="C69" s="350" t="s">
        <v>76</v>
      </c>
      <c r="D69" s="286">
        <v>11339705.23</v>
      </c>
      <c r="E69" s="286">
        <v>10122765.59</v>
      </c>
      <c r="F69" s="48">
        <f t="shared" si="1"/>
        <v>1216939.6400000006</v>
      </c>
    </row>
    <row r="70" spans="2:6" ht="20.100000000000001" customHeight="1" x14ac:dyDescent="0.25">
      <c r="B70" s="1" t="s">
        <v>209</v>
      </c>
      <c r="C70" s="350"/>
      <c r="D70" s="286">
        <v>2197977.0699999998</v>
      </c>
      <c r="E70" s="286">
        <v>2197977.0699999998</v>
      </c>
      <c r="F70" s="48">
        <f t="shared" si="1"/>
        <v>0</v>
      </c>
    </row>
    <row r="71" spans="2:6" ht="20.100000000000001" customHeight="1" x14ac:dyDescent="0.25">
      <c r="B71" s="1" t="s">
        <v>210</v>
      </c>
      <c r="C71" s="350" t="s">
        <v>76</v>
      </c>
      <c r="D71" s="286">
        <v>1422641.62</v>
      </c>
      <c r="E71" s="286">
        <v>1407380.16</v>
      </c>
      <c r="F71" s="48">
        <f t="shared" si="1"/>
        <v>15261.460000000196</v>
      </c>
    </row>
    <row r="72" spans="2:6" ht="20.100000000000001" customHeight="1" x14ac:dyDescent="0.25">
      <c r="B72" s="1" t="s">
        <v>211</v>
      </c>
      <c r="C72" s="350"/>
      <c r="D72" s="286">
        <v>1733323.25</v>
      </c>
      <c r="E72" s="286">
        <v>1725545.26</v>
      </c>
      <c r="F72" s="48">
        <f>D72-E72</f>
        <v>7777.9899999999907</v>
      </c>
    </row>
    <row r="73" spans="2:6" ht="20.100000000000001" customHeight="1" x14ac:dyDescent="0.25">
      <c r="B73" s="1" t="s">
        <v>212</v>
      </c>
      <c r="C73" s="350"/>
      <c r="D73" s="286">
        <v>887950</v>
      </c>
      <c r="E73" s="286">
        <v>887950</v>
      </c>
      <c r="F73" s="48">
        <f t="shared" ref="F73:F78" si="3">D73-E73</f>
        <v>0</v>
      </c>
    </row>
    <row r="74" spans="2:6" ht="20.100000000000001" customHeight="1" x14ac:dyDescent="0.25">
      <c r="B74" s="1" t="s">
        <v>213</v>
      </c>
      <c r="C74" s="350"/>
      <c r="D74" s="286">
        <v>945671.67</v>
      </c>
      <c r="E74" s="286">
        <v>771621.67</v>
      </c>
      <c r="F74" s="48">
        <f t="shared" si="3"/>
        <v>174050</v>
      </c>
    </row>
    <row r="75" spans="2:6" ht="20.100000000000001" customHeight="1" x14ac:dyDescent="0.25">
      <c r="B75" s="1" t="s">
        <v>214</v>
      </c>
      <c r="C75" s="350"/>
      <c r="D75" s="286">
        <v>2961915.78</v>
      </c>
      <c r="E75" s="286">
        <v>2961915.78</v>
      </c>
      <c r="F75" s="48">
        <f t="shared" si="3"/>
        <v>0</v>
      </c>
    </row>
    <row r="76" spans="2:6" ht="20.100000000000001" customHeight="1" x14ac:dyDescent="0.25">
      <c r="B76" s="1" t="s">
        <v>215</v>
      </c>
      <c r="C76" s="350"/>
      <c r="D76" s="286">
        <v>62000</v>
      </c>
      <c r="E76" s="286">
        <v>29000</v>
      </c>
      <c r="F76" s="48">
        <f t="shared" si="3"/>
        <v>33000</v>
      </c>
    </row>
    <row r="77" spans="2:6" ht="20.100000000000001" customHeight="1" x14ac:dyDescent="0.25">
      <c r="B77" s="1" t="s">
        <v>216</v>
      </c>
      <c r="C77" s="350" t="s">
        <v>76</v>
      </c>
      <c r="D77" s="286">
        <v>7034.03</v>
      </c>
      <c r="E77" s="286">
        <v>6364.03</v>
      </c>
      <c r="F77" s="48">
        <f t="shared" si="3"/>
        <v>670</v>
      </c>
    </row>
    <row r="78" spans="2:6" ht="20.100000000000001" customHeight="1" x14ac:dyDescent="0.25">
      <c r="B78" s="1" t="s">
        <v>217</v>
      </c>
      <c r="C78" s="350"/>
      <c r="D78" s="286">
        <v>2560000</v>
      </c>
      <c r="E78" s="286">
        <v>2560000</v>
      </c>
      <c r="F78" s="48">
        <f t="shared" si="3"/>
        <v>0</v>
      </c>
    </row>
    <row r="79" spans="2:6" ht="20.100000000000001" customHeight="1" x14ac:dyDescent="0.25">
      <c r="B79" s="1" t="s">
        <v>218</v>
      </c>
      <c r="C79" s="350"/>
      <c r="D79" s="286">
        <v>17000</v>
      </c>
      <c r="E79" s="286">
        <v>17000</v>
      </c>
      <c r="F79" s="48">
        <f t="shared" ref="F79" si="4">D79-E79</f>
        <v>0</v>
      </c>
    </row>
    <row r="80" spans="2:6" ht="20.100000000000001" customHeight="1" x14ac:dyDescent="0.25">
      <c r="B80" s="1" t="s">
        <v>219</v>
      </c>
      <c r="C80" s="350"/>
      <c r="D80" s="286">
        <v>451063.98</v>
      </c>
      <c r="E80" s="286">
        <v>397963.98</v>
      </c>
      <c r="F80" s="48">
        <f t="shared" si="1"/>
        <v>53100</v>
      </c>
    </row>
    <row r="81" spans="2:6" ht="20.100000000000001" customHeight="1" x14ac:dyDescent="0.25">
      <c r="B81" s="1" t="s">
        <v>220</v>
      </c>
      <c r="C81" s="350"/>
      <c r="D81" s="286">
        <v>10754262.02</v>
      </c>
      <c r="E81" s="286">
        <v>10754262.02</v>
      </c>
      <c r="F81" s="48">
        <f t="shared" si="1"/>
        <v>0</v>
      </c>
    </row>
    <row r="82" spans="2:6" ht="20.100000000000001" customHeight="1" x14ac:dyDescent="0.25">
      <c r="B82" s="1" t="s">
        <v>221</v>
      </c>
      <c r="C82" s="350"/>
      <c r="D82" s="286">
        <v>285992042.51999998</v>
      </c>
      <c r="E82" s="286">
        <f>284698957.83+15000</f>
        <v>284713957.82999998</v>
      </c>
      <c r="F82" s="48">
        <f t="shared" si="1"/>
        <v>1278084.6899999976</v>
      </c>
    </row>
    <row r="83" spans="2:6" ht="20.100000000000001" customHeight="1" x14ac:dyDescent="0.25">
      <c r="B83" s="1" t="s">
        <v>222</v>
      </c>
      <c r="C83" s="350"/>
      <c r="D83" s="286">
        <v>1789097</v>
      </c>
      <c r="E83" s="286">
        <v>1721097</v>
      </c>
      <c r="F83" s="48">
        <f t="shared" si="1"/>
        <v>68000</v>
      </c>
    </row>
    <row r="84" spans="2:6" ht="20.100000000000001" customHeight="1" x14ac:dyDescent="0.25">
      <c r="B84" s="1" t="s">
        <v>223</v>
      </c>
      <c r="C84" s="350"/>
      <c r="D84" s="286">
        <v>1050</v>
      </c>
      <c r="E84" s="286">
        <v>1050</v>
      </c>
      <c r="F84" s="48">
        <f t="shared" ref="F84" si="5">D84-E84</f>
        <v>0</v>
      </c>
    </row>
    <row r="85" spans="2:6" ht="20.100000000000001" customHeight="1" x14ac:dyDescent="0.25">
      <c r="B85" s="1" t="s">
        <v>224</v>
      </c>
      <c r="C85" s="350"/>
      <c r="D85" s="286">
        <v>2404.37</v>
      </c>
      <c r="E85" s="286">
        <v>2404.37</v>
      </c>
      <c r="F85" s="48">
        <f t="shared" si="1"/>
        <v>0</v>
      </c>
    </row>
    <row r="86" spans="2:6" ht="20.100000000000001" hidden="1" customHeight="1" x14ac:dyDescent="0.25">
      <c r="B86" s="1" t="s">
        <v>224</v>
      </c>
      <c r="C86" s="352"/>
      <c r="D86" s="52">
        <v>0</v>
      </c>
      <c r="E86" s="48">
        <v>0</v>
      </c>
      <c r="F86" s="48">
        <f t="shared" si="1"/>
        <v>0</v>
      </c>
    </row>
    <row r="87" spans="2:6" ht="20.100000000000001" customHeight="1" x14ac:dyDescent="0.25">
      <c r="C87" s="327" t="s">
        <v>165</v>
      </c>
      <c r="E87" s="48"/>
      <c r="F87" s="48"/>
    </row>
    <row r="88" spans="2:6" s="441" customFormat="1" ht="24.75" customHeight="1" x14ac:dyDescent="0.2">
      <c r="B88" s="441" t="s">
        <v>225</v>
      </c>
      <c r="C88" s="442" t="s">
        <v>76</v>
      </c>
      <c r="D88" s="447">
        <f>SUM(D55:D86)</f>
        <v>337469920.87</v>
      </c>
      <c r="E88" s="447">
        <f t="shared" ref="E88:F88" si="6">SUM(E55:E86)</f>
        <v>330356603.08999997</v>
      </c>
      <c r="F88" s="447">
        <f t="shared" si="6"/>
        <v>7113317.7799999984</v>
      </c>
    </row>
    <row r="89" spans="2:6" ht="20.100000000000001" customHeight="1" x14ac:dyDescent="0.25">
      <c r="C89" s="350" t="s">
        <v>76</v>
      </c>
      <c r="E89" s="48"/>
      <c r="F89" s="48"/>
    </row>
    <row r="90" spans="2:6" ht="20.100000000000001" customHeight="1" x14ac:dyDescent="0.25">
      <c r="C90" s="350" t="s">
        <v>76</v>
      </c>
      <c r="F90" s="48"/>
    </row>
    <row r="91" spans="2:6" s="445" customFormat="1" ht="24.75" customHeight="1" x14ac:dyDescent="0.2">
      <c r="B91" s="441" t="s">
        <v>226</v>
      </c>
      <c r="C91" s="442">
        <v>20</v>
      </c>
      <c r="D91" s="443"/>
      <c r="E91" s="444"/>
      <c r="F91" s="444"/>
    </row>
    <row r="92" spans="2:6" ht="20.100000000000001" customHeight="1" x14ac:dyDescent="0.25">
      <c r="B92" s="1" t="s">
        <v>227</v>
      </c>
      <c r="C92" s="350" t="s">
        <v>76</v>
      </c>
      <c r="D92" s="286">
        <v>1781426.97</v>
      </c>
      <c r="E92" s="286">
        <v>1576118.6</v>
      </c>
      <c r="F92" s="48">
        <f>D92-E92</f>
        <v>205308.36999999988</v>
      </c>
    </row>
    <row r="93" spans="2:6" ht="20.100000000000001" customHeight="1" x14ac:dyDescent="0.25">
      <c r="B93" s="1" t="s">
        <v>228</v>
      </c>
      <c r="C93" s="350"/>
      <c r="D93" s="286">
        <v>740898.4</v>
      </c>
      <c r="E93" s="286">
        <v>740898.4</v>
      </c>
      <c r="F93" s="48">
        <f t="shared" ref="F93" si="7">D93-E93</f>
        <v>0</v>
      </c>
    </row>
    <row r="94" spans="2:6" ht="20.100000000000001" customHeight="1" x14ac:dyDescent="0.25">
      <c r="B94" s="1" t="s">
        <v>229</v>
      </c>
      <c r="C94" s="350"/>
      <c r="D94" s="286">
        <v>959399</v>
      </c>
      <c r="E94" s="286">
        <v>959399</v>
      </c>
      <c r="F94" s="48">
        <f t="shared" ref="F94:F111" si="8">D94-E94</f>
        <v>0</v>
      </c>
    </row>
    <row r="95" spans="2:6" ht="20.100000000000001" customHeight="1" x14ac:dyDescent="0.25">
      <c r="B95" s="1" t="s">
        <v>230</v>
      </c>
      <c r="C95" s="350" t="s">
        <v>76</v>
      </c>
      <c r="D95" s="286">
        <v>5690.99</v>
      </c>
      <c r="E95" s="286">
        <v>5543.49</v>
      </c>
      <c r="F95" s="48">
        <f t="shared" si="8"/>
        <v>147.5</v>
      </c>
    </row>
    <row r="96" spans="2:6" ht="20.100000000000001" customHeight="1" x14ac:dyDescent="0.25">
      <c r="B96" s="1" t="s">
        <v>231</v>
      </c>
      <c r="C96" s="350" t="s">
        <v>76</v>
      </c>
      <c r="D96" s="286">
        <v>35300</v>
      </c>
      <c r="E96" s="286">
        <v>29100</v>
      </c>
      <c r="F96" s="48">
        <f t="shared" si="8"/>
        <v>6200</v>
      </c>
    </row>
    <row r="97" spans="2:6" ht="20.100000000000001" customHeight="1" x14ac:dyDescent="0.25">
      <c r="B97" s="1" t="s">
        <v>232</v>
      </c>
      <c r="C97" s="350" t="s">
        <v>76</v>
      </c>
      <c r="D97" s="286">
        <v>7379341.04</v>
      </c>
      <c r="E97" s="286">
        <v>6496316.04</v>
      </c>
      <c r="F97" s="48">
        <f t="shared" si="8"/>
        <v>883025</v>
      </c>
    </row>
    <row r="98" spans="2:6" ht="20.100000000000001" customHeight="1" x14ac:dyDescent="0.25">
      <c r="B98" s="1" t="s">
        <v>233</v>
      </c>
      <c r="C98" s="350"/>
      <c r="D98" s="286">
        <v>24142.44</v>
      </c>
      <c r="E98" s="286">
        <v>24142.44</v>
      </c>
      <c r="F98" s="48">
        <f>D98-E98</f>
        <v>0</v>
      </c>
    </row>
    <row r="99" spans="2:6" ht="20.100000000000001" customHeight="1" x14ac:dyDescent="0.25">
      <c r="B99" s="1" t="s">
        <v>234</v>
      </c>
      <c r="C99" s="350"/>
      <c r="D99" s="286">
        <v>89269.22</v>
      </c>
      <c r="E99" s="286">
        <v>89269.22</v>
      </c>
      <c r="F99" s="48">
        <f>D99-E99</f>
        <v>0</v>
      </c>
    </row>
    <row r="100" spans="2:6" ht="20.100000000000001" customHeight="1" x14ac:dyDescent="0.25">
      <c r="B100" s="1" t="s">
        <v>235</v>
      </c>
      <c r="C100" s="350"/>
      <c r="D100" s="286">
        <v>68003.399999999994</v>
      </c>
      <c r="E100" s="286">
        <v>68003.399999999994</v>
      </c>
      <c r="F100" s="48">
        <f t="shared" si="8"/>
        <v>0</v>
      </c>
    </row>
    <row r="101" spans="2:6" ht="20.100000000000001" customHeight="1" x14ac:dyDescent="0.25">
      <c r="B101" s="1" t="s">
        <v>236</v>
      </c>
      <c r="C101" s="350" t="s">
        <v>76</v>
      </c>
      <c r="D101" s="286">
        <v>31978.38</v>
      </c>
      <c r="E101" s="286">
        <v>9720.5</v>
      </c>
      <c r="F101" s="48">
        <f t="shared" si="8"/>
        <v>22257.88</v>
      </c>
    </row>
    <row r="102" spans="2:6" ht="20.100000000000001" customHeight="1" x14ac:dyDescent="0.25">
      <c r="B102" s="1" t="s">
        <v>237</v>
      </c>
      <c r="C102" s="350" t="s">
        <v>76</v>
      </c>
      <c r="D102" s="286">
        <v>489614.78</v>
      </c>
      <c r="E102" s="286">
        <v>442668.28</v>
      </c>
      <c r="F102" s="48">
        <f t="shared" si="8"/>
        <v>46946.5</v>
      </c>
    </row>
    <row r="103" spans="2:6" ht="20.100000000000001" customHeight="1" x14ac:dyDescent="0.25">
      <c r="B103" s="1" t="s">
        <v>238</v>
      </c>
      <c r="C103" s="350"/>
      <c r="D103" s="286">
        <v>13797.5</v>
      </c>
      <c r="E103" s="286">
        <v>13797.5</v>
      </c>
      <c r="F103" s="48">
        <f t="shared" si="8"/>
        <v>0</v>
      </c>
    </row>
    <row r="104" spans="2:6" ht="20.100000000000001" customHeight="1" x14ac:dyDescent="0.25">
      <c r="B104" s="1" t="s">
        <v>239</v>
      </c>
      <c r="C104" s="350" t="s">
        <v>76</v>
      </c>
      <c r="D104" s="286">
        <v>535694.57999999996</v>
      </c>
      <c r="E104" s="286">
        <v>502294.13</v>
      </c>
      <c r="F104" s="48">
        <f t="shared" si="8"/>
        <v>33400.449999999953</v>
      </c>
    </row>
    <row r="105" spans="2:6" ht="20.100000000000001" customHeight="1" x14ac:dyDescent="0.25">
      <c r="B105" s="1" t="s">
        <v>240</v>
      </c>
      <c r="C105" s="350" t="s">
        <v>76</v>
      </c>
      <c r="D105" s="286">
        <v>8399.66</v>
      </c>
      <c r="E105" s="286">
        <v>8399.66</v>
      </c>
      <c r="F105" s="48">
        <f>D105-E105</f>
        <v>0</v>
      </c>
    </row>
    <row r="106" spans="2:6" ht="20.100000000000001" customHeight="1" x14ac:dyDescent="0.25">
      <c r="B106" s="1" t="s">
        <v>241</v>
      </c>
      <c r="C106" s="350"/>
      <c r="D106" s="286">
        <v>454461.58</v>
      </c>
      <c r="E106" s="286">
        <v>454461.58</v>
      </c>
      <c r="F106" s="48">
        <f t="shared" si="8"/>
        <v>0</v>
      </c>
    </row>
    <row r="107" spans="2:6" ht="20.100000000000001" customHeight="1" x14ac:dyDescent="0.25">
      <c r="B107" s="1" t="s">
        <v>242</v>
      </c>
      <c r="C107" s="350" t="s">
        <v>76</v>
      </c>
      <c r="D107" s="286">
        <v>2121851.62</v>
      </c>
      <c r="E107" s="286">
        <v>2019027.35</v>
      </c>
      <c r="F107" s="48">
        <f t="shared" si="8"/>
        <v>102824.27000000002</v>
      </c>
    </row>
    <row r="108" spans="2:6" ht="20.100000000000001" customHeight="1" x14ac:dyDescent="0.25">
      <c r="B108" s="1" t="s">
        <v>243</v>
      </c>
      <c r="C108" s="350" t="s">
        <v>76</v>
      </c>
      <c r="D108" s="286">
        <v>6259346.5800000001</v>
      </c>
      <c r="E108" s="286">
        <v>5718936.2800000003</v>
      </c>
      <c r="F108" s="48">
        <f t="shared" si="8"/>
        <v>540410.29999999981</v>
      </c>
    </row>
    <row r="109" spans="2:6" ht="20.100000000000001" customHeight="1" x14ac:dyDescent="0.25">
      <c r="B109" s="1" t="s">
        <v>244</v>
      </c>
      <c r="C109" s="350"/>
      <c r="D109" s="286">
        <v>1126374.26</v>
      </c>
      <c r="E109" s="286">
        <v>1023976.6</v>
      </c>
      <c r="F109" s="48">
        <f t="shared" si="8"/>
        <v>102397.66000000003</v>
      </c>
    </row>
    <row r="110" spans="2:6" ht="20.100000000000001" customHeight="1" x14ac:dyDescent="0.25">
      <c r="B110" s="1" t="s">
        <v>245</v>
      </c>
      <c r="C110" s="350" t="s">
        <v>76</v>
      </c>
      <c r="D110" s="286">
        <v>2998113.31</v>
      </c>
      <c r="E110" s="286">
        <v>2662213.31</v>
      </c>
      <c r="F110" s="48">
        <f>D110-E110</f>
        <v>335900</v>
      </c>
    </row>
    <row r="111" spans="2:6" ht="20.100000000000001" customHeight="1" x14ac:dyDescent="0.25">
      <c r="B111" s="1" t="s">
        <v>246</v>
      </c>
      <c r="C111" s="350"/>
      <c r="D111" s="286">
        <v>184034.95</v>
      </c>
      <c r="E111" s="286">
        <v>167304.5</v>
      </c>
      <c r="F111" s="48">
        <f t="shared" si="8"/>
        <v>16730.450000000012</v>
      </c>
    </row>
    <row r="112" spans="2:6" ht="20.100000000000001" customHeight="1" x14ac:dyDescent="0.25">
      <c r="C112" s="327" t="s">
        <v>165</v>
      </c>
      <c r="E112" s="48"/>
      <c r="F112" s="48"/>
    </row>
    <row r="113" spans="2:6" s="441" customFormat="1" ht="24.75" customHeight="1" x14ac:dyDescent="0.2">
      <c r="B113" s="441" t="s">
        <v>247</v>
      </c>
      <c r="C113" s="442" t="s">
        <v>76</v>
      </c>
      <c r="D113" s="447">
        <f>SUM(D92:D111)</f>
        <v>25307138.66</v>
      </c>
      <c r="E113" s="447">
        <f>SUM(E92:E111)</f>
        <v>23011590.280000001</v>
      </c>
      <c r="F113" s="447">
        <f>SUM(F92:F111)</f>
        <v>2295548.38</v>
      </c>
    </row>
    <row r="114" spans="2:6" ht="20.100000000000001" customHeight="1" x14ac:dyDescent="0.25">
      <c r="C114" s="350" t="s">
        <v>76</v>
      </c>
      <c r="E114" s="353"/>
      <c r="F114" s="48"/>
    </row>
    <row r="115" spans="2:6" ht="20.100000000000001" customHeight="1" x14ac:dyDescent="0.25">
      <c r="C115" s="350" t="s">
        <v>76</v>
      </c>
      <c r="D115" s="286"/>
      <c r="E115" s="48"/>
      <c r="F115" s="48"/>
    </row>
    <row r="116" spans="2:6" s="445" customFormat="1" ht="24.75" customHeight="1" x14ac:dyDescent="0.2">
      <c r="B116" s="441" t="s">
        <v>248</v>
      </c>
      <c r="C116" s="442">
        <v>21</v>
      </c>
      <c r="D116" s="450"/>
      <c r="E116" s="444"/>
      <c r="F116" s="444"/>
    </row>
    <row r="117" spans="2:6" ht="20.100000000000001" customHeight="1" x14ac:dyDescent="0.25">
      <c r="B117" s="1" t="s">
        <v>249</v>
      </c>
      <c r="C117" s="350" t="s">
        <v>76</v>
      </c>
      <c r="D117" s="286">
        <v>955325.09</v>
      </c>
      <c r="E117" s="286">
        <v>955325.09</v>
      </c>
      <c r="F117" s="48">
        <f t="shared" ref="F117:F128" si="9">D117-E117</f>
        <v>0</v>
      </c>
    </row>
    <row r="118" spans="2:6" ht="20.100000000000001" customHeight="1" x14ac:dyDescent="0.25">
      <c r="B118" s="1" t="s">
        <v>250</v>
      </c>
      <c r="C118" s="350"/>
      <c r="D118" s="286">
        <v>609500</v>
      </c>
      <c r="E118" s="286">
        <v>609500</v>
      </c>
      <c r="F118" s="48">
        <f t="shared" si="9"/>
        <v>0</v>
      </c>
    </row>
    <row r="119" spans="2:6" ht="20.100000000000001" customHeight="1" x14ac:dyDescent="0.25">
      <c r="B119" s="1" t="s">
        <v>825</v>
      </c>
      <c r="C119" s="350"/>
      <c r="D119" s="286">
        <v>134253015</v>
      </c>
      <c r="E119" s="286">
        <v>134253015</v>
      </c>
      <c r="F119" s="48">
        <f t="shared" si="9"/>
        <v>0</v>
      </c>
    </row>
    <row r="120" spans="2:6" ht="20.100000000000001" customHeight="1" x14ac:dyDescent="0.25">
      <c r="B120" s="1" t="s">
        <v>251</v>
      </c>
      <c r="C120" s="350"/>
      <c r="D120" s="286">
        <f>533892.86-528000</f>
        <v>5892.859999999986</v>
      </c>
      <c r="E120" s="286">
        <f>533892.86-528000</f>
        <v>5892.859999999986</v>
      </c>
      <c r="F120" s="48">
        <f t="shared" si="9"/>
        <v>0</v>
      </c>
    </row>
    <row r="121" spans="2:6" ht="20.100000000000001" customHeight="1" x14ac:dyDescent="0.25">
      <c r="B121" s="1" t="s">
        <v>871</v>
      </c>
      <c r="C121" s="350"/>
      <c r="D121" s="286">
        <v>317678282.56</v>
      </c>
      <c r="E121" s="286"/>
      <c r="F121" s="48">
        <f t="shared" si="9"/>
        <v>317678282.56</v>
      </c>
    </row>
    <row r="122" spans="2:6" ht="20.100000000000001" customHeight="1" x14ac:dyDescent="0.25">
      <c r="B122" s="1" t="s">
        <v>824</v>
      </c>
      <c r="C122" s="350"/>
      <c r="D122" s="286">
        <v>48174267.439999998</v>
      </c>
      <c r="E122" s="286">
        <v>48174267.439999998</v>
      </c>
      <c r="F122" s="48">
        <f t="shared" si="9"/>
        <v>0</v>
      </c>
    </row>
    <row r="123" spans="2:6" ht="20.100000000000001" customHeight="1" x14ac:dyDescent="0.25">
      <c r="B123" s="1" t="s">
        <v>252</v>
      </c>
      <c r="C123" s="350"/>
      <c r="D123" s="286">
        <v>40916499.460000001</v>
      </c>
      <c r="E123" s="286">
        <v>36109850.219999999</v>
      </c>
      <c r="F123" s="48">
        <f>D123-E123</f>
        <v>4806649.2400000021</v>
      </c>
    </row>
    <row r="124" spans="2:6" ht="20.100000000000001" customHeight="1" x14ac:dyDescent="0.25">
      <c r="B124" s="1" t="s">
        <v>253</v>
      </c>
      <c r="C124" s="350"/>
      <c r="D124" s="286">
        <v>2437725.62</v>
      </c>
      <c r="E124" s="286">
        <v>2309537.84</v>
      </c>
      <c r="F124" s="48">
        <f>D124-E124</f>
        <v>128187.78000000026</v>
      </c>
    </row>
    <row r="125" spans="2:6" ht="20.100000000000001" customHeight="1" x14ac:dyDescent="0.25">
      <c r="B125" s="1" t="s">
        <v>254</v>
      </c>
      <c r="C125" s="350"/>
      <c r="D125" s="286">
        <v>60428688.829999998</v>
      </c>
      <c r="E125" s="286">
        <v>43533022.539999999</v>
      </c>
      <c r="F125" s="48">
        <f>D125-E125</f>
        <v>16895666.289999999</v>
      </c>
    </row>
    <row r="126" spans="2:6" ht="20.100000000000001" customHeight="1" x14ac:dyDescent="0.25">
      <c r="B126" s="1" t="s">
        <v>255</v>
      </c>
      <c r="C126" s="350"/>
      <c r="D126" s="286">
        <v>2915135.54</v>
      </c>
      <c r="E126" s="286">
        <v>2749758.54</v>
      </c>
      <c r="F126" s="48">
        <f>D126-E126</f>
        <v>165377</v>
      </c>
    </row>
    <row r="127" spans="2:6" ht="20.100000000000001" customHeight="1" x14ac:dyDescent="0.25">
      <c r="B127" s="1" t="s">
        <v>256</v>
      </c>
      <c r="C127" s="350"/>
      <c r="D127" s="286">
        <v>72657.679999999993</v>
      </c>
      <c r="E127" s="286">
        <v>72657.679999999993</v>
      </c>
      <c r="F127" s="48">
        <f t="shared" ref="F127" si="10">D127-E127</f>
        <v>0</v>
      </c>
    </row>
    <row r="128" spans="2:6" ht="20.100000000000001" customHeight="1" x14ac:dyDescent="0.25">
      <c r="B128" s="1" t="s">
        <v>257</v>
      </c>
      <c r="C128" s="350"/>
      <c r="D128" s="286">
        <v>223556708</v>
      </c>
      <c r="E128" s="286">
        <v>223486208</v>
      </c>
      <c r="F128" s="48">
        <f t="shared" si="9"/>
        <v>70500</v>
      </c>
    </row>
    <row r="129" spans="2:8" ht="20.100000000000001" customHeight="1" x14ac:dyDescent="0.25">
      <c r="C129" s="327" t="s">
        <v>165</v>
      </c>
      <c r="E129" s="48"/>
      <c r="F129" s="48"/>
    </row>
    <row r="130" spans="2:8" s="441" customFormat="1" ht="24.75" customHeight="1" x14ac:dyDescent="0.2">
      <c r="B130" s="441" t="s">
        <v>258</v>
      </c>
      <c r="C130" s="442" t="s">
        <v>76</v>
      </c>
      <c r="D130" s="447">
        <f>SUM(D117:D129)</f>
        <v>832003698.07999992</v>
      </c>
      <c r="E130" s="448">
        <f>SUM(E117:E129)</f>
        <v>492259035.21000004</v>
      </c>
      <c r="F130" s="448">
        <f>SUM(F117:F129)</f>
        <v>339744662.87</v>
      </c>
    </row>
    <row r="131" spans="2:8" ht="20.100000000000001" customHeight="1" x14ac:dyDescent="0.25">
      <c r="C131" s="350" t="s">
        <v>76</v>
      </c>
      <c r="E131" s="48"/>
      <c r="F131" s="48"/>
    </row>
    <row r="132" spans="2:8" ht="20.100000000000001" customHeight="1" x14ac:dyDescent="0.25">
      <c r="C132" s="350" t="s">
        <v>76</v>
      </c>
      <c r="D132" s="458"/>
      <c r="E132" s="48"/>
      <c r="F132" s="48"/>
    </row>
    <row r="133" spans="2:8" s="445" customFormat="1" ht="24.75" customHeight="1" x14ac:dyDescent="0.2">
      <c r="B133" s="441" t="s">
        <v>259</v>
      </c>
      <c r="C133" s="442">
        <v>22</v>
      </c>
      <c r="D133" s="443"/>
      <c r="E133" s="444"/>
      <c r="F133" s="444"/>
    </row>
    <row r="134" spans="2:8" s="68" customFormat="1" ht="20.100000000000001" customHeight="1" x14ac:dyDescent="0.25">
      <c r="B134" s="68" t="s">
        <v>260</v>
      </c>
      <c r="C134" s="350" t="s">
        <v>76</v>
      </c>
      <c r="D134" s="52">
        <v>5473928.7599999998</v>
      </c>
      <c r="E134" s="52">
        <v>5468486.71</v>
      </c>
      <c r="F134" s="48">
        <f>D134-E134</f>
        <v>5442.0499999998137</v>
      </c>
      <c r="G134" s="48">
        <f>E134-F134</f>
        <v>5463044.6600000001</v>
      </c>
    </row>
    <row r="135" spans="2:8" s="68" customFormat="1" ht="20.100000000000001" customHeight="1" x14ac:dyDescent="0.25">
      <c r="B135" s="1" t="s">
        <v>261</v>
      </c>
      <c r="C135" s="350" t="s">
        <v>76</v>
      </c>
      <c r="D135" s="334">
        <v>-4245.6400000000003</v>
      </c>
      <c r="E135" s="334">
        <v>-4245.6400000000003</v>
      </c>
      <c r="F135" s="48">
        <f>D135-E135</f>
        <v>0</v>
      </c>
      <c r="G135" s="48"/>
    </row>
    <row r="136" spans="2:8" ht="20.100000000000001" customHeight="1" x14ac:dyDescent="0.25">
      <c r="B136" s="1" t="s">
        <v>262</v>
      </c>
      <c r="C136" s="381"/>
      <c r="D136" s="334">
        <f>-735109.13+718494.28</f>
        <v>-16614.849999999977</v>
      </c>
      <c r="E136" s="334">
        <f>-735109.13+718494.28</f>
        <v>-16614.849999999977</v>
      </c>
      <c r="F136" s="48">
        <f>D136-E136</f>
        <v>0</v>
      </c>
      <c r="H136" s="28"/>
    </row>
    <row r="137" spans="2:8" ht="20.100000000000001" customHeight="1" x14ac:dyDescent="0.25">
      <c r="B137" s="20"/>
      <c r="C137" s="327" t="s">
        <v>165</v>
      </c>
      <c r="D137" s="48"/>
      <c r="E137" s="48"/>
      <c r="F137" s="48"/>
    </row>
    <row r="138" spans="2:8" s="441" customFormat="1" ht="24.75" customHeight="1" x14ac:dyDescent="0.2">
      <c r="B138" s="441" t="s">
        <v>263</v>
      </c>
      <c r="C138" s="442" t="s">
        <v>76</v>
      </c>
      <c r="D138" s="447">
        <f>SUM(D134:D137)</f>
        <v>5453068.2700000005</v>
      </c>
      <c r="E138" s="448">
        <f>SUM(E134:E137)</f>
        <v>5447626.2200000007</v>
      </c>
      <c r="F138" s="448">
        <f>SUM(F134:F137)</f>
        <v>5442.0499999998137</v>
      </c>
    </row>
    <row r="139" spans="2:8" ht="20.100000000000001" customHeight="1" x14ac:dyDescent="0.25">
      <c r="C139" s="350" t="s">
        <v>76</v>
      </c>
      <c r="D139" s="48"/>
      <c r="E139" s="48"/>
      <c r="F139" s="48"/>
    </row>
    <row r="140" spans="2:8" x14ac:dyDescent="0.25">
      <c r="C140" s="350"/>
      <c r="D140" s="334"/>
      <c r="E140" s="48"/>
      <c r="F140" s="48"/>
    </row>
    <row r="141" spans="2:8" x14ac:dyDescent="0.25">
      <c r="C141" s="350"/>
      <c r="E141" s="48"/>
      <c r="F141" s="48"/>
    </row>
    <row r="142" spans="2:8" x14ac:dyDescent="0.25">
      <c r="C142" s="350"/>
      <c r="D142" s="48"/>
      <c r="E142" s="48"/>
      <c r="F142" s="48"/>
    </row>
    <row r="143" spans="2:8" x14ac:dyDescent="0.25">
      <c r="C143" s="350"/>
      <c r="D143" s="48"/>
      <c r="E143" s="48"/>
      <c r="F143" s="48"/>
    </row>
    <row r="144" spans="2:8" x14ac:dyDescent="0.25">
      <c r="C144" s="350"/>
      <c r="D144" s="48"/>
      <c r="E144" s="48"/>
      <c r="F144" s="48"/>
    </row>
    <row r="145" spans="3:6" x14ac:dyDescent="0.25">
      <c r="C145" s="350"/>
      <c r="D145" s="48"/>
      <c r="E145" s="48"/>
      <c r="F145" s="48"/>
    </row>
    <row r="146" spans="3:6" x14ac:dyDescent="0.25">
      <c r="C146" s="350"/>
      <c r="D146" s="48"/>
      <c r="E146" s="48"/>
      <c r="F146" s="48"/>
    </row>
    <row r="147" spans="3:6" x14ac:dyDescent="0.25">
      <c r="C147" s="350"/>
      <c r="D147" s="48"/>
      <c r="E147" s="48"/>
      <c r="F147" s="48"/>
    </row>
    <row r="148" spans="3:6" x14ac:dyDescent="0.25">
      <c r="C148" s="350"/>
      <c r="D148" s="48"/>
      <c r="E148" s="48"/>
      <c r="F148" s="48"/>
    </row>
    <row r="149" spans="3:6" x14ac:dyDescent="0.25">
      <c r="C149" s="350"/>
      <c r="D149" s="48"/>
      <c r="E149" s="48"/>
      <c r="F149" s="48"/>
    </row>
    <row r="150" spans="3:6" x14ac:dyDescent="0.25">
      <c r="C150" s="350"/>
      <c r="D150" s="48"/>
      <c r="E150" s="48"/>
      <c r="F150" s="48"/>
    </row>
    <row r="151" spans="3:6" x14ac:dyDescent="0.25">
      <c r="C151" s="350"/>
      <c r="D151" s="48"/>
      <c r="E151" s="48"/>
      <c r="F151" s="48"/>
    </row>
    <row r="152" spans="3:6" x14ac:dyDescent="0.25">
      <c r="C152" s="350"/>
      <c r="D152" s="48"/>
      <c r="E152" s="48"/>
      <c r="F152" s="48"/>
    </row>
    <row r="153" spans="3:6" x14ac:dyDescent="0.25">
      <c r="C153" s="350"/>
      <c r="D153" s="48"/>
      <c r="E153" s="48"/>
      <c r="F153" s="48"/>
    </row>
    <row r="154" spans="3:6" x14ac:dyDescent="0.25">
      <c r="C154" s="350"/>
      <c r="D154" s="48"/>
      <c r="E154" s="48"/>
      <c r="F154" s="48"/>
    </row>
    <row r="155" spans="3:6" x14ac:dyDescent="0.25">
      <c r="C155" s="350"/>
      <c r="D155" s="48"/>
      <c r="E155" s="48"/>
      <c r="F155" s="48"/>
    </row>
    <row r="156" spans="3:6" x14ac:dyDescent="0.25">
      <c r="C156" s="350"/>
      <c r="D156" s="48"/>
      <c r="E156" s="48"/>
      <c r="F156" s="48"/>
    </row>
    <row r="157" spans="3:6" x14ac:dyDescent="0.25">
      <c r="C157" s="350"/>
      <c r="D157" s="48"/>
      <c r="E157" s="48"/>
      <c r="F157" s="48"/>
    </row>
    <row r="158" spans="3:6" x14ac:dyDescent="0.25">
      <c r="C158" s="350"/>
      <c r="D158" s="48"/>
      <c r="E158" s="48"/>
      <c r="F158" s="48"/>
    </row>
    <row r="159" spans="3:6" x14ac:dyDescent="0.25">
      <c r="C159" s="350"/>
      <c r="D159" s="48"/>
      <c r="E159" s="48"/>
      <c r="F159" s="48"/>
    </row>
    <row r="160" spans="3:6" x14ac:dyDescent="0.25">
      <c r="C160" s="350"/>
      <c r="D160" s="48"/>
      <c r="E160" s="48"/>
      <c r="F160" s="48"/>
    </row>
    <row r="161" spans="3:6" x14ac:dyDescent="0.25">
      <c r="C161" s="350"/>
      <c r="D161" s="48"/>
      <c r="E161" s="48"/>
      <c r="F161" s="48"/>
    </row>
    <row r="162" spans="3:6" x14ac:dyDescent="0.25">
      <c r="C162" s="350"/>
      <c r="D162" s="48"/>
      <c r="E162" s="48"/>
      <c r="F162" s="48"/>
    </row>
    <row r="163" spans="3:6" x14ac:dyDescent="0.25">
      <c r="C163" s="350"/>
      <c r="D163" s="48"/>
      <c r="E163" s="48"/>
      <c r="F163" s="48"/>
    </row>
    <row r="164" spans="3:6" x14ac:dyDescent="0.25">
      <c r="C164" s="350"/>
      <c r="D164" s="48"/>
      <c r="E164" s="48"/>
      <c r="F164" s="48"/>
    </row>
    <row r="165" spans="3:6" x14ac:dyDescent="0.25">
      <c r="C165" s="350"/>
      <c r="D165" s="48"/>
      <c r="E165" s="48"/>
      <c r="F165" s="48"/>
    </row>
    <row r="166" spans="3:6" x14ac:dyDescent="0.25">
      <c r="C166" s="350"/>
      <c r="D166" s="48"/>
      <c r="E166" s="48"/>
      <c r="F166" s="48"/>
    </row>
    <row r="167" spans="3:6" x14ac:dyDescent="0.25">
      <c r="C167" s="350"/>
      <c r="D167" s="48"/>
      <c r="E167" s="48"/>
      <c r="F167" s="48"/>
    </row>
    <row r="168" spans="3:6" x14ac:dyDescent="0.25">
      <c r="C168" s="350"/>
      <c r="D168" s="48"/>
      <c r="E168" s="48"/>
      <c r="F168" s="48"/>
    </row>
    <row r="169" spans="3:6" x14ac:dyDescent="0.25">
      <c r="C169" s="350"/>
      <c r="D169" s="48"/>
      <c r="E169" s="48"/>
      <c r="F169" s="48"/>
    </row>
    <row r="170" spans="3:6" x14ac:dyDescent="0.25">
      <c r="C170" s="350"/>
      <c r="D170" s="48"/>
      <c r="E170" s="48"/>
      <c r="F170" s="48"/>
    </row>
    <row r="171" spans="3:6" x14ac:dyDescent="0.25">
      <c r="C171" s="350"/>
      <c r="D171" s="48"/>
      <c r="E171" s="48"/>
      <c r="F171" s="48"/>
    </row>
    <row r="172" spans="3:6" x14ac:dyDescent="0.25">
      <c r="C172" s="350"/>
      <c r="D172" s="48"/>
      <c r="E172" s="48"/>
      <c r="F172" s="48"/>
    </row>
    <row r="173" spans="3:6" x14ac:dyDescent="0.25">
      <c r="C173" s="350"/>
      <c r="D173" s="48"/>
      <c r="E173" s="48"/>
      <c r="F173" s="48"/>
    </row>
    <row r="174" spans="3:6" x14ac:dyDescent="0.25">
      <c r="C174" s="350"/>
      <c r="D174" s="48"/>
      <c r="E174" s="48"/>
      <c r="F174" s="48"/>
    </row>
    <row r="175" spans="3:6" x14ac:dyDescent="0.25">
      <c r="C175" s="350"/>
      <c r="D175" s="48"/>
      <c r="E175" s="48"/>
      <c r="F175" s="48"/>
    </row>
    <row r="176" spans="3:6" x14ac:dyDescent="0.25">
      <c r="C176" s="350"/>
      <c r="D176" s="48"/>
      <c r="E176" s="48"/>
      <c r="F176" s="48"/>
    </row>
    <row r="177" spans="3:11" x14ac:dyDescent="0.25">
      <c r="C177" s="350"/>
      <c r="D177" s="48"/>
      <c r="E177" s="48"/>
      <c r="F177" s="48"/>
    </row>
    <row r="178" spans="3:11" x14ac:dyDescent="0.25">
      <c r="C178" s="350"/>
      <c r="D178" s="48"/>
      <c r="E178" s="48"/>
      <c r="F178" s="48"/>
    </row>
    <row r="179" spans="3:11" x14ac:dyDescent="0.25">
      <c r="C179" s="350"/>
      <c r="D179" s="48"/>
      <c r="E179" s="48"/>
      <c r="F179" s="48"/>
    </row>
    <row r="180" spans="3:11" x14ac:dyDescent="0.25">
      <c r="C180" s="350"/>
      <c r="D180" s="48"/>
      <c r="E180" s="48"/>
      <c r="F180" s="48"/>
    </row>
    <row r="181" spans="3:11" x14ac:dyDescent="0.25">
      <c r="C181" s="350"/>
      <c r="D181" s="48"/>
      <c r="E181" s="48"/>
      <c r="F181" s="48"/>
    </row>
    <row r="182" spans="3:11" x14ac:dyDescent="0.25">
      <c r="C182" s="350"/>
      <c r="D182" s="48"/>
      <c r="E182" s="48"/>
      <c r="F182" s="48"/>
    </row>
    <row r="183" spans="3:11" x14ac:dyDescent="0.25">
      <c r="C183" s="350"/>
      <c r="D183" s="48"/>
      <c r="E183" s="48"/>
      <c r="F183" s="48"/>
    </row>
    <row r="184" spans="3:11" x14ac:dyDescent="0.25">
      <c r="C184" s="350"/>
      <c r="D184" s="48"/>
      <c r="E184" s="48"/>
      <c r="F184" s="48"/>
    </row>
    <row r="185" spans="3:11" x14ac:dyDescent="0.25">
      <c r="C185" s="350"/>
      <c r="D185" s="48"/>
      <c r="E185" s="48"/>
      <c r="F185" s="48"/>
      <c r="J185" s="30"/>
    </row>
    <row r="186" spans="3:11" x14ac:dyDescent="0.25">
      <c r="C186" s="350"/>
      <c r="D186" s="48"/>
      <c r="E186" s="48"/>
      <c r="F186" s="48"/>
    </row>
    <row r="187" spans="3:11" x14ac:dyDescent="0.25">
      <c r="C187" s="350"/>
      <c r="D187" s="48"/>
      <c r="E187" s="48"/>
      <c r="F187" s="48"/>
      <c r="K187" s="30"/>
    </row>
    <row r="188" spans="3:11" x14ac:dyDescent="0.25">
      <c r="C188" s="350"/>
      <c r="D188" s="48"/>
      <c r="E188" s="48"/>
      <c r="F188" s="48"/>
    </row>
    <row r="189" spans="3:11" x14ac:dyDescent="0.25">
      <c r="C189" s="350"/>
      <c r="D189" s="48"/>
      <c r="E189" s="48"/>
      <c r="F189" s="48"/>
    </row>
    <row r="190" spans="3:11" x14ac:dyDescent="0.25">
      <c r="C190" s="350"/>
      <c r="D190" s="48"/>
      <c r="E190" s="48"/>
      <c r="F190" s="48"/>
    </row>
    <row r="191" spans="3:11" x14ac:dyDescent="0.25">
      <c r="C191" s="350"/>
      <c r="D191" s="48"/>
      <c r="E191" s="48"/>
      <c r="F191" s="48"/>
      <c r="J191" s="30"/>
    </row>
    <row r="192" spans="3:11" x14ac:dyDescent="0.25">
      <c r="C192" s="350"/>
      <c r="D192" s="48"/>
      <c r="E192" s="48"/>
      <c r="F192" s="48"/>
    </row>
    <row r="193" spans="3:14" x14ac:dyDescent="0.25">
      <c r="C193" s="350"/>
      <c r="D193" s="48"/>
      <c r="E193" s="48"/>
      <c r="F193" s="48"/>
      <c r="K193" s="30"/>
    </row>
    <row r="194" spans="3:14" x14ac:dyDescent="0.25">
      <c r="C194" s="350"/>
      <c r="D194" s="48"/>
      <c r="E194" s="48"/>
      <c r="F194" s="48"/>
      <c r="K194" s="90"/>
    </row>
    <row r="195" spans="3:14" x14ac:dyDescent="0.25">
      <c r="C195" s="350"/>
      <c r="D195" s="48"/>
      <c r="E195" s="48"/>
      <c r="F195" s="48"/>
    </row>
    <row r="197" spans="3:14" x14ac:dyDescent="0.25">
      <c r="M197" s="354"/>
      <c r="N197" s="354"/>
    </row>
    <row r="198" spans="3:14" x14ac:dyDescent="0.25">
      <c r="L198" s="90"/>
      <c r="M198" s="354"/>
      <c r="N198" s="354"/>
    </row>
    <row r="199" spans="3:14" x14ac:dyDescent="0.25">
      <c r="L199" s="90"/>
      <c r="M199" s="50"/>
      <c r="N199" s="50"/>
    </row>
    <row r="200" spans="3:14" x14ac:dyDescent="0.25">
      <c r="L200" s="90"/>
      <c r="M200" s="50"/>
      <c r="N200" s="50"/>
    </row>
    <row r="201" spans="3:14" x14ac:dyDescent="0.25">
      <c r="L201" s="90"/>
      <c r="M201" s="50"/>
      <c r="N201" s="50"/>
    </row>
    <row r="202" spans="3:14" x14ac:dyDescent="0.25">
      <c r="L202" s="90"/>
      <c r="M202" s="50"/>
      <c r="N202" s="50"/>
    </row>
    <row r="203" spans="3:14" x14ac:dyDescent="0.25">
      <c r="L203" s="90"/>
    </row>
    <row r="204" spans="3:14" x14ac:dyDescent="0.25">
      <c r="L204" s="90"/>
    </row>
    <row r="205" spans="3:14" x14ac:dyDescent="0.25">
      <c r="L205" s="90"/>
    </row>
    <row r="206" spans="3:14" x14ac:dyDescent="0.25">
      <c r="L206" s="90"/>
    </row>
  </sheetData>
  <pageMargins left="0.70866141732283472" right="0.70866141732283472" top="0.74803149606299213" bottom="1.1023622047244095" header="0.31496062992125984" footer="0.31496062992125984"/>
  <pageSetup scale="47" firstPageNumber="4" fitToHeight="2" orientation="portrait" useFirstPageNumber="1" r:id="rId1"/>
  <rowBreaks count="1" manualBreakCount="1">
    <brk id="58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I164"/>
  <sheetViews>
    <sheetView view="pageBreakPreview" topLeftCell="A12" zoomScale="80" zoomScaleNormal="80" zoomScaleSheetLayoutView="80" workbookViewId="0">
      <selection activeCell="E15" sqref="E15"/>
    </sheetView>
  </sheetViews>
  <sheetFormatPr baseColWidth="10" defaultColWidth="11.5703125" defaultRowHeight="15.75" x14ac:dyDescent="0.25"/>
  <cols>
    <col min="1" max="1" width="5.140625" style="1" customWidth="1"/>
    <col min="2" max="2" width="35.140625" style="1" customWidth="1"/>
    <col min="3" max="3" width="10.7109375" style="1" customWidth="1"/>
    <col min="4" max="4" width="19.7109375" style="1" bestFit="1" customWidth="1"/>
    <col min="5" max="5" width="20.140625" style="1" bestFit="1" customWidth="1"/>
    <col min="6" max="6" width="28.42578125" style="1" bestFit="1" customWidth="1"/>
    <col min="7" max="7" width="20.140625" style="1" bestFit="1" customWidth="1"/>
    <col min="8" max="8" width="29" style="1" bestFit="1" customWidth="1"/>
    <col min="9" max="9" width="18.140625" style="1" customWidth="1"/>
    <col min="10" max="16384" width="11.5703125" style="1"/>
  </cols>
  <sheetData>
    <row r="6" spans="2:9" s="7" customFormat="1" ht="24.75" customHeight="1" x14ac:dyDescent="0.3">
      <c r="B6" s="49" t="str">
        <f>+'A-SITUACION ANEXOS'!B6</f>
        <v xml:space="preserve">ANEXOS DE ESTADO DE SITUACIÓN </v>
      </c>
      <c r="F6" s="1"/>
      <c r="G6" s="1"/>
      <c r="H6" s="1"/>
    </row>
    <row r="7" spans="2:9" s="7" customFormat="1" ht="24.75" customHeight="1" x14ac:dyDescent="0.3">
      <c r="B7" s="49" t="s">
        <v>848</v>
      </c>
      <c r="F7" s="1"/>
      <c r="G7" s="1"/>
      <c r="H7" s="1"/>
    </row>
    <row r="8" spans="2:9" s="7" customFormat="1" ht="24.75" customHeight="1" x14ac:dyDescent="0.3">
      <c r="B8" s="49" t="str">
        <f>+'A-SITUACION ANEXOS'!B8</f>
        <v>VALORES EXPRESADOS EN RD$</v>
      </c>
      <c r="F8" s="1"/>
      <c r="G8" s="1"/>
      <c r="H8" s="1"/>
    </row>
    <row r="9" spans="2:9" s="7" customFormat="1" ht="24.75" customHeight="1" x14ac:dyDescent="0.3">
      <c r="F9" s="1"/>
      <c r="G9" s="1"/>
      <c r="H9" s="1"/>
    </row>
    <row r="10" spans="2:9" s="7" customFormat="1" ht="24.75" customHeight="1" x14ac:dyDescent="0.3">
      <c r="C10" s="13" t="s">
        <v>264</v>
      </c>
      <c r="D10" s="4">
        <v>14</v>
      </c>
      <c r="F10" s="1"/>
      <c r="G10" s="1"/>
      <c r="H10" s="1"/>
    </row>
    <row r="11" spans="2:9" s="7" customFormat="1" ht="24.75" customHeight="1" x14ac:dyDescent="0.3">
      <c r="E11" s="36"/>
      <c r="F11" s="1"/>
      <c r="G11" s="1"/>
      <c r="H11" s="20"/>
    </row>
    <row r="12" spans="2:9" s="7" customFormat="1" ht="24.75" customHeight="1" x14ac:dyDescent="0.3">
      <c r="B12" s="49" t="s">
        <v>265</v>
      </c>
    </row>
    <row r="13" spans="2:9" s="7" customFormat="1" ht="24.75" customHeight="1" thickBot="1" x14ac:dyDescent="0.35">
      <c r="B13" s="49"/>
    </row>
    <row r="14" spans="2:9" s="7" customFormat="1" ht="24.75" customHeight="1" thickBot="1" x14ac:dyDescent="0.35">
      <c r="D14" s="341" t="s">
        <v>266</v>
      </c>
      <c r="E14" s="546" t="s">
        <v>861</v>
      </c>
      <c r="F14" s="547"/>
      <c r="G14" s="546" t="s">
        <v>826</v>
      </c>
      <c r="H14" s="547"/>
    </row>
    <row r="15" spans="2:9" ht="24.75" customHeight="1" x14ac:dyDescent="0.25">
      <c r="D15" s="342" t="s">
        <v>267</v>
      </c>
      <c r="E15" s="345" t="s">
        <v>268</v>
      </c>
      <c r="F15" s="336" t="s">
        <v>269</v>
      </c>
      <c r="G15" s="340" t="s">
        <v>268</v>
      </c>
      <c r="H15" s="336" t="s">
        <v>269</v>
      </c>
    </row>
    <row r="16" spans="2:9" ht="24.75" customHeight="1" x14ac:dyDescent="0.25">
      <c r="B16" s="60" t="s">
        <v>270</v>
      </c>
      <c r="D16" s="342" t="s">
        <v>271</v>
      </c>
      <c r="E16" s="342" t="s">
        <v>272</v>
      </c>
      <c r="F16" s="336" t="s">
        <v>273</v>
      </c>
      <c r="G16" s="50" t="s">
        <v>272</v>
      </c>
      <c r="H16" s="336" t="s">
        <v>273</v>
      </c>
      <c r="I16" s="22"/>
    </row>
    <row r="17" spans="2:8" ht="24.75" customHeight="1" x14ac:dyDescent="0.25">
      <c r="D17" s="239"/>
      <c r="E17" s="239"/>
      <c r="F17" s="346"/>
      <c r="H17" s="337"/>
    </row>
    <row r="18" spans="2:8" ht="24.75" customHeight="1" x14ac:dyDescent="0.25">
      <c r="B18" s="1" t="s">
        <v>117</v>
      </c>
      <c r="D18" s="343">
        <v>99.500102455000004</v>
      </c>
      <c r="E18" s="347">
        <f>F18/100</f>
        <v>6953497</v>
      </c>
      <c r="F18" s="337">
        <v>695349700</v>
      </c>
      <c r="G18" s="61">
        <v>6953497</v>
      </c>
      <c r="H18" s="337">
        <v>695349700</v>
      </c>
    </row>
    <row r="19" spans="2:8" ht="24.75" customHeight="1" x14ac:dyDescent="0.25">
      <c r="B19" s="1" t="s">
        <v>274</v>
      </c>
      <c r="D19" s="343">
        <v>49.9739570395</v>
      </c>
      <c r="E19" s="347">
        <f>F19/100</f>
        <v>28163101</v>
      </c>
      <c r="F19" s="346">
        <v>2816310100</v>
      </c>
      <c r="G19" s="61">
        <v>28163101</v>
      </c>
      <c r="H19" s="337">
        <v>2816310100</v>
      </c>
    </row>
    <row r="20" spans="2:8" ht="24.75" customHeight="1" x14ac:dyDescent="0.25">
      <c r="B20" s="1" t="s">
        <v>275</v>
      </c>
      <c r="D20" s="343">
        <v>49.590354330700002</v>
      </c>
      <c r="E20" s="347">
        <f>F20/100</f>
        <v>2519190</v>
      </c>
      <c r="F20" s="346">
        <f>251919000+0</f>
        <v>251919000</v>
      </c>
      <c r="G20" s="61">
        <v>2519190</v>
      </c>
      <c r="H20" s="337">
        <v>251919000</v>
      </c>
    </row>
    <row r="21" spans="2:8" ht="24.75" customHeight="1" x14ac:dyDescent="0.25">
      <c r="B21" s="1" t="s">
        <v>276</v>
      </c>
      <c r="D21" s="343">
        <v>49.993471306399996</v>
      </c>
      <c r="E21" s="347">
        <f>2297250000/100</f>
        <v>22972500</v>
      </c>
      <c r="F21" s="346">
        <v>2297250000</v>
      </c>
      <c r="G21" s="61">
        <v>22972500</v>
      </c>
      <c r="H21" s="346">
        <v>2297250000</v>
      </c>
    </row>
    <row r="22" spans="2:8" ht="24.75" customHeight="1" x14ac:dyDescent="0.25">
      <c r="B22" s="1" t="s">
        <v>118</v>
      </c>
      <c r="D22" s="343">
        <v>99.979305835000005</v>
      </c>
      <c r="E22" s="347">
        <f>F22/100</f>
        <v>32403395</v>
      </c>
      <c r="F22" s="346">
        <v>3240339500</v>
      </c>
      <c r="G22" s="61">
        <v>32403395</v>
      </c>
      <c r="H22" s="337">
        <v>3240339500</v>
      </c>
    </row>
    <row r="23" spans="2:8" ht="24.75" customHeight="1" x14ac:dyDescent="0.25">
      <c r="B23" s="1" t="s">
        <v>277</v>
      </c>
      <c r="D23" s="343">
        <v>99.960759730299998</v>
      </c>
      <c r="E23" s="347">
        <f>F23/100</f>
        <v>34750978</v>
      </c>
      <c r="F23" s="346">
        <v>3475097800</v>
      </c>
      <c r="G23" s="61">
        <v>34750978</v>
      </c>
      <c r="H23" s="337">
        <v>3475097800</v>
      </c>
    </row>
    <row r="24" spans="2:8" ht="24.75" customHeight="1" x14ac:dyDescent="0.25">
      <c r="B24" s="1" t="s">
        <v>119</v>
      </c>
      <c r="D24" s="343">
        <v>99.9381695318</v>
      </c>
      <c r="E24" s="347">
        <f>F24/100</f>
        <v>34628160</v>
      </c>
      <c r="F24" s="346">
        <v>3462816000</v>
      </c>
      <c r="G24" s="61">
        <v>34628160</v>
      </c>
      <c r="H24" s="337">
        <v>3462816000</v>
      </c>
    </row>
    <row r="25" spans="2:8" ht="50.25" thickBot="1" x14ac:dyDescent="0.45">
      <c r="B25" s="59" t="s">
        <v>278</v>
      </c>
      <c r="D25" s="344"/>
      <c r="E25" s="344"/>
      <c r="F25" s="339">
        <f>SUM(F18:F24)</f>
        <v>16239082100</v>
      </c>
      <c r="G25" s="338"/>
      <c r="H25" s="339">
        <f>SUM(H18:H24)</f>
        <v>16239082100</v>
      </c>
    </row>
    <row r="26" spans="2:8" ht="24.75" customHeight="1" x14ac:dyDescent="0.25"/>
    <row r="27" spans="2:8" ht="24.75" customHeight="1" x14ac:dyDescent="0.25">
      <c r="F27" s="20"/>
    </row>
    <row r="29" spans="2:8" x14ac:dyDescent="0.25">
      <c r="F29" s="20"/>
    </row>
    <row r="157" spans="9:9" x14ac:dyDescent="0.25">
      <c r="I157" s="65"/>
    </row>
    <row r="158" spans="9:9" x14ac:dyDescent="0.25">
      <c r="I158" s="65"/>
    </row>
    <row r="159" spans="9:9" x14ac:dyDescent="0.25">
      <c r="I159" s="65"/>
    </row>
    <row r="160" spans="9:9" x14ac:dyDescent="0.25">
      <c r="I160" s="65"/>
    </row>
    <row r="161" spans="9:9" x14ac:dyDescent="0.25">
      <c r="I161" s="65"/>
    </row>
    <row r="162" spans="9:9" x14ac:dyDescent="0.25">
      <c r="I162" s="65"/>
    </row>
    <row r="163" spans="9:9" x14ac:dyDescent="0.25">
      <c r="I163" s="65"/>
    </row>
    <row r="164" spans="9:9" x14ac:dyDescent="0.25">
      <c r="I164" s="65"/>
    </row>
  </sheetData>
  <mergeCells count="2">
    <mergeCell ref="E14:F14"/>
    <mergeCell ref="G14:H14"/>
  </mergeCells>
  <pageMargins left="0.70866141732283472" right="0.70866141732283472" top="0.74803149606299213" bottom="0.74803149606299213" header="0.31496062992125984" footer="0.31496062992125984"/>
  <pageSetup scale="54" firstPageNumber="3" fitToHeight="10" orientation="portrait" useFirstPageNumber="1" r:id="rId1"/>
  <ignoredErrors>
    <ignoredError sqref="E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H34"/>
  <sheetViews>
    <sheetView topLeftCell="A4" zoomScale="90" zoomScaleNormal="90" workbookViewId="0">
      <selection activeCell="G13" sqref="G13"/>
    </sheetView>
  </sheetViews>
  <sheetFormatPr baseColWidth="10" defaultColWidth="11.5703125" defaultRowHeight="24.75" customHeight="1" x14ac:dyDescent="0.25"/>
  <cols>
    <col min="1" max="1" width="7.5703125" style="1" customWidth="1"/>
    <col min="2" max="2" width="43.28515625" style="1" customWidth="1"/>
    <col min="3" max="3" width="19.140625" style="1" bestFit="1" customWidth="1"/>
    <col min="4" max="4" width="35.42578125" style="1" customWidth="1"/>
    <col min="5" max="5" width="16" style="2" bestFit="1" customWidth="1"/>
    <col min="6" max="6" width="4.85546875" style="1" customWidth="1"/>
    <col min="7" max="7" width="20.85546875" style="1" customWidth="1"/>
    <col min="8" max="8" width="36.28515625" style="1" customWidth="1"/>
    <col min="9" max="9" width="8.42578125" style="1" bestFit="1" customWidth="1"/>
    <col min="10" max="10" width="12.85546875" style="1" customWidth="1"/>
    <col min="11" max="11" width="16.5703125" style="1" bestFit="1" customWidth="1"/>
    <col min="12" max="16384" width="11.5703125" style="1"/>
  </cols>
  <sheetData>
    <row r="3" spans="2:8" ht="24.75" customHeight="1" x14ac:dyDescent="0.25">
      <c r="B3" s="539" t="s">
        <v>279</v>
      </c>
      <c r="C3" s="539"/>
      <c r="D3" s="539"/>
      <c r="E3" s="69"/>
    </row>
    <row r="4" spans="2:8" ht="24.75" customHeight="1" x14ac:dyDescent="0.25">
      <c r="B4" s="539" t="s">
        <v>280</v>
      </c>
      <c r="C4" s="539"/>
      <c r="D4" s="539"/>
      <c r="E4" s="69"/>
    </row>
    <row r="5" spans="2:8" ht="24.75" customHeight="1" x14ac:dyDescent="0.25">
      <c r="B5" s="539" t="s">
        <v>281</v>
      </c>
      <c r="C5" s="539"/>
      <c r="D5" s="539"/>
      <c r="E5" s="69"/>
    </row>
    <row r="6" spans="2:8" ht="24.75" customHeight="1" x14ac:dyDescent="0.25">
      <c r="B6" s="551">
        <v>45626</v>
      </c>
      <c r="C6" s="551"/>
      <c r="D6" s="551"/>
      <c r="E6" s="69"/>
    </row>
    <row r="7" spans="2:8" ht="24.75" customHeight="1" thickBot="1" x14ac:dyDescent="0.3">
      <c r="B7" s="71"/>
      <c r="C7" s="71"/>
      <c r="D7" s="71"/>
      <c r="E7" s="72"/>
    </row>
    <row r="8" spans="2:8" ht="24.75" customHeight="1" thickBot="1" x14ac:dyDescent="0.3">
      <c r="B8" s="73" t="s">
        <v>266</v>
      </c>
      <c r="C8" s="74" t="s">
        <v>282</v>
      </c>
      <c r="D8" s="75" t="s">
        <v>283</v>
      </c>
    </row>
    <row r="9" spans="2:8" ht="15.75" hidden="1" customHeight="1" x14ac:dyDescent="0.25">
      <c r="B9" s="76" t="s">
        <v>284</v>
      </c>
      <c r="C9" s="63"/>
      <c r="D9" s="77">
        <v>0</v>
      </c>
    </row>
    <row r="10" spans="2:8" ht="24.75" customHeight="1" x14ac:dyDescent="0.25">
      <c r="B10" s="76" t="s">
        <v>285</v>
      </c>
      <c r="C10" s="63"/>
      <c r="D10" s="515">
        <v>200000</v>
      </c>
    </row>
    <row r="11" spans="2:8" ht="24.75" customHeight="1" x14ac:dyDescent="0.25">
      <c r="B11" s="78" t="s">
        <v>286</v>
      </c>
      <c r="C11" s="79"/>
      <c r="D11" s="516">
        <v>168192173.88999999</v>
      </c>
      <c r="G11" s="2"/>
      <c r="H11" s="514"/>
    </row>
    <row r="12" spans="2:8" ht="24.75" customHeight="1" x14ac:dyDescent="0.25">
      <c r="B12" s="78" t="s">
        <v>287</v>
      </c>
      <c r="C12" s="79"/>
      <c r="D12" s="516">
        <v>47731.360000000001</v>
      </c>
    </row>
    <row r="13" spans="2:8" ht="24.75" customHeight="1" x14ac:dyDescent="0.25">
      <c r="B13" s="78" t="s">
        <v>288</v>
      </c>
      <c r="C13" s="81">
        <v>58.95</v>
      </c>
      <c r="D13" s="516">
        <v>18140.169999999998</v>
      </c>
      <c r="G13" s="20"/>
    </row>
    <row r="14" spans="2:8" ht="24.75" customHeight="1" x14ac:dyDescent="0.4">
      <c r="B14" s="78" t="s">
        <v>289</v>
      </c>
      <c r="C14" s="79"/>
      <c r="D14" s="517">
        <f>+D13*57.95</f>
        <v>1051222.8514999999</v>
      </c>
      <c r="G14" s="20"/>
    </row>
    <row r="15" spans="2:8" ht="24.75" customHeight="1" x14ac:dyDescent="0.4">
      <c r="B15" s="83" t="s">
        <v>269</v>
      </c>
      <c r="C15" s="84"/>
      <c r="D15" s="169">
        <f>SUM(D9:D14)</f>
        <v>169509268.27149999</v>
      </c>
      <c r="G15" s="2"/>
    </row>
    <row r="16" spans="2:8" ht="24.75" customHeight="1" thickBot="1" x14ac:dyDescent="0.3">
      <c r="B16" s="86"/>
      <c r="C16" s="87"/>
      <c r="D16" s="509"/>
    </row>
    <row r="17" spans="3:5" ht="24.75" customHeight="1" x14ac:dyDescent="0.25">
      <c r="D17" s="500"/>
    </row>
    <row r="18" spans="3:5" ht="24.75" hidden="1" customHeight="1" x14ac:dyDescent="0.25">
      <c r="D18" s="501"/>
    </row>
    <row r="19" spans="3:5" ht="24.75" hidden="1" customHeight="1" x14ac:dyDescent="0.25">
      <c r="C19" s="548" t="s">
        <v>290</v>
      </c>
      <c r="D19" s="500">
        <f>+D13</f>
        <v>18140.169999999998</v>
      </c>
    </row>
    <row r="20" spans="3:5" ht="24.75" hidden="1" customHeight="1" x14ac:dyDescent="0.25">
      <c r="C20" s="549"/>
      <c r="D20" s="310" t="s">
        <v>291</v>
      </c>
    </row>
    <row r="21" spans="3:5" ht="24.75" hidden="1" customHeight="1" x14ac:dyDescent="0.25">
      <c r="C21" s="550"/>
      <c r="D21" s="462">
        <f>+D19*57.5</f>
        <v>1043059.7749999999</v>
      </c>
    </row>
    <row r="22" spans="3:5" ht="24.75" hidden="1" customHeight="1" x14ac:dyDescent="0.25">
      <c r="D22" s="502"/>
    </row>
    <row r="23" spans="3:5" ht="24.75" hidden="1" customHeight="1" x14ac:dyDescent="0.25">
      <c r="C23" s="548" t="s">
        <v>292</v>
      </c>
      <c r="D23" s="464">
        <v>14152.03</v>
      </c>
    </row>
    <row r="24" spans="3:5" ht="24.75" hidden="1" customHeight="1" x14ac:dyDescent="0.4">
      <c r="C24" s="549"/>
      <c r="D24" s="503">
        <v>798174.51</v>
      </c>
    </row>
    <row r="25" spans="3:5" ht="24.75" hidden="1" customHeight="1" x14ac:dyDescent="0.25">
      <c r="C25" s="550"/>
      <c r="D25" s="500">
        <f>SUM(D23:D24)</f>
        <v>812326.54</v>
      </c>
    </row>
    <row r="26" spans="3:5" ht="24.75" hidden="1" customHeight="1" x14ac:dyDescent="0.25">
      <c r="D26" s="502"/>
    </row>
    <row r="27" spans="3:5" ht="24.75" hidden="1" customHeight="1" x14ac:dyDescent="0.25">
      <c r="C27" s="548" t="s">
        <v>293</v>
      </c>
      <c r="D27" s="500">
        <f>+D21</f>
        <v>1043059.7749999999</v>
      </c>
    </row>
    <row r="28" spans="3:5" ht="24.75" hidden="1" customHeight="1" x14ac:dyDescent="0.25">
      <c r="C28" s="549"/>
      <c r="D28" s="500">
        <f>-D25</f>
        <v>-812326.54</v>
      </c>
    </row>
    <row r="29" spans="3:5" ht="24.75" hidden="1" customHeight="1" thickBot="1" x14ac:dyDescent="0.3">
      <c r="C29" s="550"/>
      <c r="D29" s="504">
        <f>SUM(D27:D28)</f>
        <v>230733.23499999987</v>
      </c>
    </row>
    <row r="30" spans="3:5" ht="24.75" hidden="1" customHeight="1" thickTop="1" x14ac:dyDescent="0.25">
      <c r="D30" s="502"/>
      <c r="E30" s="52"/>
    </row>
    <row r="31" spans="3:5" ht="24.75" customHeight="1" x14ac:dyDescent="0.25">
      <c r="D31" s="500"/>
    </row>
    <row r="32" spans="3:5" ht="24.75" customHeight="1" x14ac:dyDescent="0.25">
      <c r="D32" s="462">
        <v>1063920.97</v>
      </c>
    </row>
    <row r="33" spans="4:4" ht="24.75" customHeight="1" x14ac:dyDescent="0.25">
      <c r="D33" s="1">
        <v>5442.05</v>
      </c>
    </row>
    <row r="34" spans="4:4" ht="24.75" customHeight="1" x14ac:dyDescent="0.25">
      <c r="D34" s="20">
        <f>SUM(D32:D33)</f>
        <v>1069363.02</v>
      </c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J211"/>
  <sheetViews>
    <sheetView zoomScale="90" zoomScaleNormal="90" zoomScaleSheetLayoutView="90" workbookViewId="0">
      <selection activeCell="G13" sqref="G13"/>
    </sheetView>
  </sheetViews>
  <sheetFormatPr baseColWidth="10" defaultColWidth="11.5703125" defaultRowHeight="24.75" customHeight="1" x14ac:dyDescent="0.25"/>
  <cols>
    <col min="1" max="1" width="5.5703125" style="1" customWidth="1"/>
    <col min="2" max="2" width="37.140625" style="1" customWidth="1"/>
    <col min="3" max="3" width="20.7109375" style="1" hidden="1" customWidth="1"/>
    <col min="4" max="4" width="19.5703125" style="1" hidden="1" customWidth="1"/>
    <col min="5" max="5" width="25" style="1" bestFit="1" customWidth="1"/>
    <col min="6" max="6" width="7.140625" style="1" customWidth="1"/>
    <col min="7" max="7" width="6.5703125" style="1" customWidth="1"/>
    <col min="8" max="8" width="20.5703125" style="1" bestFit="1" customWidth="1"/>
    <col min="9" max="9" width="8.42578125" style="1" bestFit="1" customWidth="1"/>
    <col min="10" max="10" width="20.5703125" style="1" bestFit="1" customWidth="1"/>
    <col min="11" max="11" width="16.5703125" style="1" bestFit="1" customWidth="1"/>
    <col min="12" max="16384" width="11.5703125" style="1"/>
  </cols>
  <sheetData>
    <row r="2" spans="2:10" ht="24.75" customHeight="1" x14ac:dyDescent="0.25">
      <c r="E2" s="90"/>
    </row>
    <row r="3" spans="2:10" ht="24.75" customHeight="1" x14ac:dyDescent="0.25">
      <c r="B3" s="539" t="s">
        <v>294</v>
      </c>
      <c r="C3" s="539"/>
      <c r="D3" s="539"/>
      <c r="E3" s="539"/>
    </row>
    <row r="4" spans="2:10" ht="24.75" customHeight="1" x14ac:dyDescent="0.25">
      <c r="B4" s="539" t="s">
        <v>280</v>
      </c>
      <c r="C4" s="539"/>
      <c r="D4" s="539"/>
      <c r="E4" s="539"/>
    </row>
    <row r="5" spans="2:10" ht="24.75" customHeight="1" x14ac:dyDescent="0.25">
      <c r="B5" s="539" t="s">
        <v>295</v>
      </c>
      <c r="C5" s="539"/>
      <c r="D5" s="539"/>
      <c r="E5" s="539"/>
    </row>
    <row r="6" spans="2:10" ht="24.75" customHeight="1" x14ac:dyDescent="0.25">
      <c r="B6" s="551">
        <v>45626</v>
      </c>
      <c r="C6" s="551"/>
      <c r="D6" s="551"/>
      <c r="E6" s="551"/>
    </row>
    <row r="7" spans="2:10" ht="24.75" customHeight="1" thickBot="1" x14ac:dyDescent="0.3">
      <c r="B7" s="71"/>
      <c r="C7" s="71"/>
      <c r="D7" s="71"/>
      <c r="E7" s="50"/>
    </row>
    <row r="8" spans="2:10" ht="24.75" customHeight="1" thickBot="1" x14ac:dyDescent="0.3">
      <c r="B8" s="73" t="s">
        <v>266</v>
      </c>
      <c r="C8" s="74" t="s">
        <v>296</v>
      </c>
      <c r="D8" s="74" t="s">
        <v>282</v>
      </c>
      <c r="E8" s="75" t="s">
        <v>283</v>
      </c>
    </row>
    <row r="9" spans="2:10" ht="24.75" customHeight="1" x14ac:dyDescent="0.25">
      <c r="B9" s="91" t="s">
        <v>297</v>
      </c>
      <c r="C9" s="92">
        <v>0</v>
      </c>
      <c r="D9" s="92">
        <v>0</v>
      </c>
      <c r="E9" s="505">
        <v>566072307.97000003</v>
      </c>
      <c r="G9" s="20"/>
    </row>
    <row r="10" spans="2:10" ht="24.75" customHeight="1" x14ac:dyDescent="0.25">
      <c r="B10" s="91" t="s">
        <v>298</v>
      </c>
      <c r="C10" s="92"/>
      <c r="D10" s="92"/>
      <c r="E10" s="505">
        <v>556116732.88</v>
      </c>
      <c r="G10" s="20"/>
    </row>
    <row r="11" spans="2:10" ht="24.75" customHeight="1" x14ac:dyDescent="0.4">
      <c r="B11" s="91" t="s">
        <v>299</v>
      </c>
      <c r="C11" s="92"/>
      <c r="D11" s="92"/>
      <c r="E11" s="506">
        <v>519701256.37</v>
      </c>
      <c r="G11" s="20"/>
    </row>
    <row r="12" spans="2:10" ht="25.5" customHeight="1" x14ac:dyDescent="0.4">
      <c r="B12" s="83" t="s">
        <v>300</v>
      </c>
      <c r="C12" s="93" t="e">
        <f>SUM(#REF!)</f>
        <v>#REF!</v>
      </c>
      <c r="D12" s="94"/>
      <c r="E12" s="507">
        <f>SUM(E9:E11)</f>
        <v>1641890297.2199998</v>
      </c>
      <c r="G12" s="95"/>
    </row>
    <row r="13" spans="2:10" ht="24.75" customHeight="1" thickBot="1" x14ac:dyDescent="0.3">
      <c r="B13" s="96"/>
      <c r="C13" s="97"/>
      <c r="D13" s="97"/>
      <c r="E13" s="508"/>
      <c r="G13" s="2"/>
    </row>
    <row r="14" spans="2:10" ht="24.75" customHeight="1" x14ac:dyDescent="0.25">
      <c r="B14" s="16"/>
      <c r="C14" s="98"/>
      <c r="D14" s="98"/>
      <c r="G14" s="2"/>
      <c r="H14" s="20"/>
      <c r="J14" s="20"/>
    </row>
    <row r="15" spans="2:10" ht="24.75" customHeight="1" x14ac:dyDescent="0.25">
      <c r="B15" s="68"/>
      <c r="C15" s="58"/>
      <c r="D15" s="58"/>
      <c r="E15" s="355"/>
      <c r="G15" s="20"/>
      <c r="H15" s="20"/>
      <c r="J15" s="20"/>
    </row>
    <row r="16" spans="2:10" ht="24.75" customHeight="1" x14ac:dyDescent="0.25">
      <c r="B16" s="68"/>
      <c r="C16" s="58"/>
      <c r="D16" s="58"/>
      <c r="E16" s="355"/>
      <c r="G16" s="20"/>
      <c r="H16" s="20"/>
    </row>
    <row r="17" spans="3:8" ht="24.75" customHeight="1" x14ac:dyDescent="0.25">
      <c r="C17" s="2"/>
      <c r="D17" s="99"/>
      <c r="E17" s="355"/>
      <c r="G17" s="20"/>
      <c r="H17" s="20"/>
    </row>
    <row r="18" spans="3:8" ht="24.75" hidden="1" customHeight="1" x14ac:dyDescent="0.4">
      <c r="C18" s="2"/>
      <c r="D18" s="100"/>
      <c r="E18" s="101"/>
      <c r="G18" s="20"/>
      <c r="H18" s="20"/>
    </row>
    <row r="19" spans="3:8" ht="24.75" customHeight="1" x14ac:dyDescent="0.4">
      <c r="C19" s="21"/>
      <c r="D19" s="28"/>
      <c r="E19" s="95"/>
      <c r="G19" s="20"/>
      <c r="H19" s="20"/>
    </row>
    <row r="20" spans="3:8" ht="24.75" customHeight="1" x14ac:dyDescent="0.25">
      <c r="C20" s="3"/>
      <c r="D20" s="28"/>
      <c r="E20" s="57"/>
      <c r="H20" s="20"/>
    </row>
    <row r="21" spans="3:8" ht="24.75" customHeight="1" x14ac:dyDescent="0.25">
      <c r="C21" s="3"/>
      <c r="D21" s="28"/>
      <c r="E21" s="28"/>
      <c r="H21" s="20"/>
    </row>
    <row r="22" spans="3:8" ht="24.75" customHeight="1" x14ac:dyDescent="0.25">
      <c r="C22" s="3"/>
      <c r="D22" s="3"/>
      <c r="E22" s="3"/>
      <c r="H22" s="20"/>
    </row>
    <row r="23" spans="3:8" ht="24.75" customHeight="1" x14ac:dyDescent="0.25">
      <c r="C23" s="3"/>
      <c r="D23" s="3"/>
      <c r="E23" s="3"/>
      <c r="H23" s="20"/>
    </row>
    <row r="24" spans="3:8" ht="24.75" customHeight="1" x14ac:dyDescent="0.25">
      <c r="C24" s="3"/>
      <c r="D24" s="3"/>
      <c r="E24" s="3"/>
      <c r="H24" s="20"/>
    </row>
    <row r="25" spans="3:8" ht="24.75" customHeight="1" x14ac:dyDescent="0.25">
      <c r="C25" s="3"/>
      <c r="D25" s="3"/>
      <c r="E25" s="3"/>
      <c r="H25" s="20"/>
    </row>
    <row r="26" spans="3:8" ht="24.75" customHeight="1" x14ac:dyDescent="0.25">
      <c r="C26" s="3"/>
      <c r="D26" s="3"/>
      <c r="E26" s="3"/>
      <c r="H26" s="20"/>
    </row>
    <row r="27" spans="3:8" ht="24.75" customHeight="1" x14ac:dyDescent="0.25">
      <c r="C27" s="3"/>
      <c r="D27" s="3"/>
      <c r="E27" s="3"/>
      <c r="H27" s="20"/>
    </row>
    <row r="28" spans="3:8" ht="24.75" customHeight="1" x14ac:dyDescent="0.25">
      <c r="C28" s="3"/>
      <c r="D28" s="3"/>
      <c r="E28" s="3"/>
      <c r="H28" s="20"/>
    </row>
    <row r="29" spans="3:8" ht="24.75" customHeight="1" x14ac:dyDescent="0.25">
      <c r="C29" s="3"/>
      <c r="D29" s="3"/>
      <c r="E29" s="3"/>
      <c r="H29" s="20"/>
    </row>
    <row r="30" spans="3:8" ht="24.75" customHeight="1" x14ac:dyDescent="0.25">
      <c r="C30" s="3"/>
      <c r="D30" s="3"/>
      <c r="E30" s="3"/>
      <c r="H30" s="20"/>
    </row>
    <row r="31" spans="3:8" ht="24.75" customHeight="1" x14ac:dyDescent="0.25">
      <c r="C31" s="3"/>
      <c r="D31" s="3"/>
      <c r="E31" s="3"/>
      <c r="H31" s="20"/>
    </row>
    <row r="32" spans="3:8" ht="24.75" customHeight="1" x14ac:dyDescent="0.25">
      <c r="C32" s="3"/>
      <c r="D32" s="3"/>
      <c r="E32" s="3"/>
    </row>
    <row r="33" spans="3:5" ht="24.75" customHeight="1" x14ac:dyDescent="0.25">
      <c r="C33" s="3"/>
      <c r="D33" s="3"/>
      <c r="E33" s="3"/>
    </row>
    <row r="34" spans="3:5" ht="24.75" customHeight="1" x14ac:dyDescent="0.25">
      <c r="C34" s="3"/>
      <c r="D34" s="3"/>
      <c r="E34" s="3"/>
    </row>
    <row r="35" spans="3:5" ht="24.75" customHeight="1" x14ac:dyDescent="0.25">
      <c r="C35" s="3"/>
      <c r="D35" s="3"/>
      <c r="E35" s="3"/>
    </row>
    <row r="36" spans="3:5" ht="24.75" customHeight="1" x14ac:dyDescent="0.25">
      <c r="C36" s="3"/>
      <c r="D36" s="3"/>
      <c r="E36" s="3"/>
    </row>
    <row r="37" spans="3:5" ht="24.75" customHeight="1" x14ac:dyDescent="0.25">
      <c r="C37" s="3"/>
      <c r="D37" s="3"/>
      <c r="E37" s="3"/>
    </row>
    <row r="38" spans="3:5" ht="24.75" customHeight="1" x14ac:dyDescent="0.25">
      <c r="C38" s="3"/>
      <c r="D38" s="3"/>
      <c r="E38" s="3"/>
    </row>
    <row r="39" spans="3:5" ht="24.75" customHeight="1" x14ac:dyDescent="0.25">
      <c r="C39" s="3"/>
      <c r="D39" s="3"/>
      <c r="E39" s="3"/>
    </row>
    <row r="40" spans="3:5" ht="24.75" customHeight="1" x14ac:dyDescent="0.25">
      <c r="C40" s="3"/>
      <c r="D40" s="3"/>
      <c r="E40" s="3"/>
    </row>
    <row r="41" spans="3:5" ht="24.75" customHeight="1" x14ac:dyDescent="0.25">
      <c r="C41" s="3"/>
      <c r="D41" s="3"/>
      <c r="E41" s="3"/>
    </row>
    <row r="42" spans="3:5" ht="24.75" customHeight="1" x14ac:dyDescent="0.25">
      <c r="C42" s="3"/>
      <c r="D42" s="3"/>
      <c r="E42" s="3"/>
    </row>
    <row r="43" spans="3:5" ht="24.75" customHeight="1" x14ac:dyDescent="0.25">
      <c r="C43" s="3"/>
      <c r="D43" s="3"/>
      <c r="E43" s="3"/>
    </row>
    <row r="44" spans="3:5" ht="24.75" customHeight="1" x14ac:dyDescent="0.25">
      <c r="C44" s="3"/>
      <c r="D44" s="3"/>
      <c r="E44" s="3"/>
    </row>
    <row r="45" spans="3:5" ht="24.75" customHeight="1" x14ac:dyDescent="0.25">
      <c r="C45" s="3"/>
      <c r="D45" s="3"/>
      <c r="E45" s="3"/>
    </row>
    <row r="46" spans="3:5" ht="24.75" customHeight="1" x14ac:dyDescent="0.25">
      <c r="C46" s="3"/>
      <c r="D46" s="3"/>
      <c r="E46" s="3"/>
    </row>
    <row r="47" spans="3:5" ht="24.75" customHeight="1" x14ac:dyDescent="0.25">
      <c r="C47" s="3"/>
      <c r="D47" s="3"/>
      <c r="E47" s="3"/>
    </row>
    <row r="48" spans="3:5" ht="24.75" customHeight="1" x14ac:dyDescent="0.25">
      <c r="C48" s="3"/>
      <c r="D48" s="3"/>
      <c r="E48" s="3"/>
    </row>
    <row r="49" spans="3:5" ht="24.75" customHeight="1" x14ac:dyDescent="0.25">
      <c r="C49" s="3"/>
      <c r="D49" s="3"/>
      <c r="E49" s="3"/>
    </row>
    <row r="50" spans="3:5" ht="24.75" customHeight="1" x14ac:dyDescent="0.25">
      <c r="C50" s="3"/>
      <c r="D50" s="3"/>
      <c r="E50" s="3"/>
    </row>
    <row r="51" spans="3:5" ht="24.75" customHeight="1" x14ac:dyDescent="0.25">
      <c r="C51" s="3"/>
      <c r="D51" s="3"/>
      <c r="E51" s="3"/>
    </row>
    <row r="52" spans="3:5" ht="24.75" customHeight="1" x14ac:dyDescent="0.25">
      <c r="C52" s="3"/>
      <c r="D52" s="3"/>
      <c r="E52" s="3"/>
    </row>
    <row r="53" spans="3:5" ht="24.75" customHeight="1" x14ac:dyDescent="0.25">
      <c r="C53" s="3"/>
      <c r="D53" s="3"/>
      <c r="E53" s="3"/>
    </row>
    <row r="54" spans="3:5" ht="24.75" customHeight="1" x14ac:dyDescent="0.25">
      <c r="C54" s="3"/>
      <c r="D54" s="3"/>
      <c r="E54" s="3"/>
    </row>
    <row r="55" spans="3:5" ht="24.75" customHeight="1" x14ac:dyDescent="0.25">
      <c r="C55" s="3"/>
      <c r="D55" s="3"/>
      <c r="E55" s="3"/>
    </row>
    <row r="56" spans="3:5" ht="24.75" customHeight="1" x14ac:dyDescent="0.25">
      <c r="C56" s="3"/>
      <c r="D56" s="3"/>
      <c r="E56" s="3"/>
    </row>
    <row r="57" spans="3:5" ht="24.75" customHeight="1" x14ac:dyDescent="0.25">
      <c r="C57" s="3"/>
      <c r="D57" s="3"/>
      <c r="E57" s="3"/>
    </row>
    <row r="58" spans="3:5" ht="24.75" customHeight="1" x14ac:dyDescent="0.25">
      <c r="C58" s="3"/>
      <c r="D58" s="3"/>
      <c r="E58" s="3"/>
    </row>
    <row r="59" spans="3:5" ht="24.75" customHeight="1" x14ac:dyDescent="0.25">
      <c r="C59" s="3"/>
      <c r="D59" s="3"/>
      <c r="E59" s="3"/>
    </row>
    <row r="60" spans="3:5" ht="24.75" customHeight="1" x14ac:dyDescent="0.25">
      <c r="C60" s="3"/>
      <c r="D60" s="3"/>
      <c r="E60" s="3"/>
    </row>
    <row r="61" spans="3:5" ht="24.75" customHeight="1" x14ac:dyDescent="0.25">
      <c r="C61" s="3"/>
      <c r="D61" s="3"/>
      <c r="E61" s="3"/>
    </row>
    <row r="62" spans="3:5" ht="24.75" customHeight="1" x14ac:dyDescent="0.25">
      <c r="C62" s="3"/>
      <c r="D62" s="3"/>
      <c r="E62" s="3"/>
    </row>
    <row r="63" spans="3:5" ht="24.75" customHeight="1" x14ac:dyDescent="0.25">
      <c r="C63" s="3"/>
      <c r="D63" s="3"/>
      <c r="E63" s="3"/>
    </row>
    <row r="64" spans="3:5" ht="24.75" customHeight="1" x14ac:dyDescent="0.25">
      <c r="C64" s="3"/>
      <c r="D64" s="3"/>
      <c r="E64" s="3"/>
    </row>
    <row r="65" spans="3:5" ht="24.75" customHeight="1" x14ac:dyDescent="0.25">
      <c r="C65" s="3"/>
      <c r="D65" s="3"/>
      <c r="E65" s="3"/>
    </row>
    <row r="66" spans="3:5" ht="24.75" customHeight="1" x14ac:dyDescent="0.25">
      <c r="C66" s="3"/>
      <c r="D66" s="3"/>
      <c r="E66" s="3"/>
    </row>
    <row r="67" spans="3:5" ht="24.75" customHeight="1" x14ac:dyDescent="0.25">
      <c r="C67" s="3"/>
      <c r="D67" s="3"/>
      <c r="E67" s="3"/>
    </row>
    <row r="68" spans="3:5" ht="24.75" customHeight="1" x14ac:dyDescent="0.25">
      <c r="C68" s="3"/>
      <c r="D68" s="3"/>
      <c r="E68" s="3"/>
    </row>
    <row r="69" spans="3:5" ht="24.75" customHeight="1" x14ac:dyDescent="0.25">
      <c r="C69" s="3"/>
      <c r="D69" s="3"/>
      <c r="E69" s="3"/>
    </row>
    <row r="70" spans="3:5" ht="24.75" customHeight="1" x14ac:dyDescent="0.25">
      <c r="C70" s="3"/>
      <c r="D70" s="3"/>
      <c r="E70" s="3"/>
    </row>
    <row r="71" spans="3:5" ht="24.75" customHeight="1" x14ac:dyDescent="0.25">
      <c r="C71" s="3"/>
      <c r="D71" s="3"/>
      <c r="E71" s="3"/>
    </row>
    <row r="72" spans="3:5" ht="24.75" customHeight="1" x14ac:dyDescent="0.25">
      <c r="C72" s="3"/>
      <c r="D72" s="3"/>
      <c r="E72" s="3"/>
    </row>
    <row r="73" spans="3:5" ht="24.75" customHeight="1" x14ac:dyDescent="0.25">
      <c r="C73" s="3"/>
      <c r="D73" s="3"/>
      <c r="E73" s="3"/>
    </row>
    <row r="74" spans="3:5" ht="24.75" customHeight="1" x14ac:dyDescent="0.25">
      <c r="C74" s="3"/>
      <c r="D74" s="3"/>
      <c r="E74" s="3"/>
    </row>
    <row r="75" spans="3:5" ht="24.75" customHeight="1" x14ac:dyDescent="0.25">
      <c r="C75" s="3"/>
      <c r="D75" s="3"/>
      <c r="E75" s="3"/>
    </row>
    <row r="76" spans="3:5" ht="24.75" customHeight="1" x14ac:dyDescent="0.25">
      <c r="C76" s="3"/>
      <c r="D76" s="3"/>
      <c r="E76" s="3"/>
    </row>
    <row r="77" spans="3:5" ht="24.75" customHeight="1" x14ac:dyDescent="0.25">
      <c r="C77" s="3"/>
      <c r="D77" s="3"/>
      <c r="E77" s="3"/>
    </row>
    <row r="78" spans="3:5" ht="24.75" customHeight="1" x14ac:dyDescent="0.25">
      <c r="C78" s="3"/>
      <c r="D78" s="3"/>
      <c r="E78" s="3"/>
    </row>
    <row r="79" spans="3:5" ht="24.75" customHeight="1" x14ac:dyDescent="0.25">
      <c r="C79" s="3"/>
      <c r="D79" s="3"/>
      <c r="E79" s="3"/>
    </row>
    <row r="80" spans="3:5" ht="24.75" customHeight="1" x14ac:dyDescent="0.25">
      <c r="C80" s="3"/>
      <c r="D80" s="3"/>
      <c r="E80" s="3"/>
    </row>
    <row r="81" spans="3:5" ht="24.75" customHeight="1" x14ac:dyDescent="0.25">
      <c r="C81" s="3"/>
      <c r="D81" s="3"/>
      <c r="E81" s="3"/>
    </row>
    <row r="82" spans="3:5" ht="24.75" customHeight="1" x14ac:dyDescent="0.25">
      <c r="C82" s="3"/>
      <c r="D82" s="3"/>
      <c r="E82" s="3"/>
    </row>
    <row r="83" spans="3:5" ht="24.75" customHeight="1" x14ac:dyDescent="0.25">
      <c r="C83" s="3"/>
      <c r="D83" s="3"/>
      <c r="E83" s="3"/>
    </row>
    <row r="84" spans="3:5" ht="24.75" customHeight="1" x14ac:dyDescent="0.25">
      <c r="C84" s="3"/>
      <c r="D84" s="3"/>
      <c r="E84" s="3"/>
    </row>
    <row r="85" spans="3:5" ht="24.75" customHeight="1" x14ac:dyDescent="0.25">
      <c r="C85" s="3"/>
      <c r="D85" s="3"/>
      <c r="E85" s="3"/>
    </row>
    <row r="86" spans="3:5" ht="24.75" customHeight="1" x14ac:dyDescent="0.25">
      <c r="C86" s="3"/>
      <c r="D86" s="3"/>
      <c r="E86" s="3"/>
    </row>
    <row r="87" spans="3:5" ht="24.75" customHeight="1" x14ac:dyDescent="0.25">
      <c r="C87" s="3"/>
      <c r="D87" s="3"/>
      <c r="E87" s="3"/>
    </row>
    <row r="88" spans="3:5" ht="24.75" customHeight="1" x14ac:dyDescent="0.25">
      <c r="C88" s="3"/>
      <c r="D88" s="3"/>
      <c r="E88" s="3"/>
    </row>
    <row r="89" spans="3:5" ht="24.75" customHeight="1" x14ac:dyDescent="0.25">
      <c r="C89" s="3"/>
      <c r="D89" s="3"/>
      <c r="E89" s="3"/>
    </row>
    <row r="90" spans="3:5" ht="24.75" customHeight="1" x14ac:dyDescent="0.25">
      <c r="C90" s="3"/>
      <c r="D90" s="3"/>
      <c r="E90" s="3"/>
    </row>
    <row r="91" spans="3:5" ht="24.75" customHeight="1" x14ac:dyDescent="0.25">
      <c r="C91" s="3"/>
      <c r="D91" s="3"/>
      <c r="E91" s="3"/>
    </row>
    <row r="92" spans="3:5" ht="24.75" customHeight="1" x14ac:dyDescent="0.25">
      <c r="C92" s="3"/>
      <c r="D92" s="3"/>
      <c r="E92" s="3"/>
    </row>
    <row r="93" spans="3:5" ht="24.75" customHeight="1" x14ac:dyDescent="0.25">
      <c r="C93" s="3"/>
      <c r="D93" s="3"/>
      <c r="E93" s="3"/>
    </row>
    <row r="94" spans="3:5" ht="24.75" customHeight="1" x14ac:dyDescent="0.25">
      <c r="C94" s="3"/>
      <c r="D94" s="3"/>
      <c r="E94" s="3"/>
    </row>
    <row r="95" spans="3:5" ht="24.75" customHeight="1" x14ac:dyDescent="0.25">
      <c r="C95" s="3"/>
      <c r="D95" s="3"/>
      <c r="E95" s="3"/>
    </row>
    <row r="96" spans="3:5" ht="24.75" customHeight="1" x14ac:dyDescent="0.25">
      <c r="C96" s="3"/>
      <c r="D96" s="3"/>
      <c r="E96" s="3"/>
    </row>
    <row r="97" spans="3:5" ht="24.75" customHeight="1" x14ac:dyDescent="0.25">
      <c r="C97" s="3"/>
      <c r="D97" s="3"/>
      <c r="E97" s="3"/>
    </row>
    <row r="98" spans="3:5" ht="24.75" customHeight="1" x14ac:dyDescent="0.25">
      <c r="C98" s="3"/>
      <c r="D98" s="3"/>
      <c r="E98" s="3"/>
    </row>
    <row r="99" spans="3:5" ht="24.75" customHeight="1" x14ac:dyDescent="0.25">
      <c r="C99" s="3"/>
      <c r="D99" s="3"/>
      <c r="E99" s="3"/>
    </row>
    <row r="100" spans="3:5" ht="24.75" customHeight="1" x14ac:dyDescent="0.25">
      <c r="C100" s="3"/>
      <c r="D100" s="3"/>
      <c r="E100" s="3"/>
    </row>
    <row r="101" spans="3:5" ht="24.75" customHeight="1" x14ac:dyDescent="0.25">
      <c r="C101" s="3"/>
      <c r="D101" s="3"/>
      <c r="E101" s="3"/>
    </row>
    <row r="102" spans="3:5" ht="24.75" customHeight="1" x14ac:dyDescent="0.25">
      <c r="C102" s="3"/>
      <c r="D102" s="3"/>
      <c r="E102" s="3"/>
    </row>
    <row r="103" spans="3:5" ht="24.75" customHeight="1" x14ac:dyDescent="0.25">
      <c r="C103" s="3"/>
      <c r="D103" s="3"/>
      <c r="E103" s="3"/>
    </row>
    <row r="104" spans="3:5" ht="24.75" customHeight="1" x14ac:dyDescent="0.25">
      <c r="C104" s="3"/>
      <c r="D104" s="3"/>
      <c r="E104" s="3"/>
    </row>
    <row r="105" spans="3:5" ht="24.75" customHeight="1" x14ac:dyDescent="0.25">
      <c r="C105" s="3"/>
      <c r="D105" s="3"/>
      <c r="E105" s="3"/>
    </row>
    <row r="106" spans="3:5" ht="24.75" customHeight="1" x14ac:dyDescent="0.25">
      <c r="C106" s="3"/>
      <c r="D106" s="3"/>
      <c r="E106" s="3"/>
    </row>
    <row r="107" spans="3:5" ht="24.75" customHeight="1" x14ac:dyDescent="0.25">
      <c r="C107" s="3"/>
      <c r="D107" s="3"/>
      <c r="E107" s="3"/>
    </row>
    <row r="108" spans="3:5" ht="24.75" customHeight="1" x14ac:dyDescent="0.25">
      <c r="C108" s="3"/>
      <c r="D108" s="3"/>
      <c r="E108" s="3"/>
    </row>
    <row r="109" spans="3:5" ht="24.75" customHeight="1" x14ac:dyDescent="0.25">
      <c r="C109" s="3"/>
      <c r="D109" s="3"/>
      <c r="E109" s="3"/>
    </row>
    <row r="110" spans="3:5" ht="24.75" customHeight="1" x14ac:dyDescent="0.25">
      <c r="C110" s="3"/>
      <c r="D110" s="3"/>
      <c r="E110" s="3"/>
    </row>
    <row r="111" spans="3:5" ht="24.75" customHeight="1" x14ac:dyDescent="0.25">
      <c r="C111" s="3"/>
      <c r="D111" s="3"/>
      <c r="E111" s="3"/>
    </row>
    <row r="112" spans="3:5" ht="24.75" customHeight="1" x14ac:dyDescent="0.25">
      <c r="C112" s="3"/>
      <c r="D112" s="3"/>
      <c r="E112" s="3"/>
    </row>
    <row r="113" spans="3:5" ht="24.75" customHeight="1" x14ac:dyDescent="0.25">
      <c r="C113" s="3"/>
      <c r="D113" s="3"/>
      <c r="E113" s="3"/>
    </row>
    <row r="114" spans="3:5" ht="24.75" customHeight="1" x14ac:dyDescent="0.25">
      <c r="C114" s="3"/>
      <c r="D114" s="3"/>
      <c r="E114" s="3"/>
    </row>
    <row r="115" spans="3:5" ht="24.75" customHeight="1" x14ac:dyDescent="0.25">
      <c r="C115" s="3"/>
      <c r="D115" s="3"/>
      <c r="E115" s="3"/>
    </row>
    <row r="116" spans="3:5" ht="24.75" customHeight="1" x14ac:dyDescent="0.25">
      <c r="C116" s="3"/>
      <c r="D116" s="3"/>
      <c r="E116" s="3"/>
    </row>
    <row r="117" spans="3:5" ht="24.75" customHeight="1" x14ac:dyDescent="0.25">
      <c r="C117" s="3"/>
      <c r="D117" s="3"/>
      <c r="E117" s="3"/>
    </row>
    <row r="118" spans="3:5" ht="24.75" customHeight="1" x14ac:dyDescent="0.25">
      <c r="C118" s="3"/>
      <c r="D118" s="3"/>
      <c r="E118" s="3"/>
    </row>
    <row r="119" spans="3:5" ht="24.75" customHeight="1" x14ac:dyDescent="0.25">
      <c r="C119" s="3"/>
      <c r="D119" s="3"/>
      <c r="E119" s="3"/>
    </row>
    <row r="120" spans="3:5" ht="24.75" customHeight="1" x14ac:dyDescent="0.25">
      <c r="C120" s="3"/>
      <c r="D120" s="3"/>
      <c r="E120" s="3"/>
    </row>
    <row r="121" spans="3:5" ht="24.75" customHeight="1" x14ac:dyDescent="0.25">
      <c r="C121" s="3"/>
      <c r="D121" s="3"/>
      <c r="E121" s="3"/>
    </row>
    <row r="122" spans="3:5" ht="24.75" customHeight="1" x14ac:dyDescent="0.25">
      <c r="C122" s="3"/>
      <c r="D122" s="3"/>
      <c r="E122" s="3"/>
    </row>
    <row r="123" spans="3:5" ht="24.75" customHeight="1" x14ac:dyDescent="0.25">
      <c r="C123" s="3"/>
      <c r="D123" s="3"/>
      <c r="E123" s="3"/>
    </row>
    <row r="124" spans="3:5" ht="24.75" customHeight="1" x14ac:dyDescent="0.25">
      <c r="C124" s="3"/>
      <c r="D124" s="3"/>
      <c r="E124" s="3"/>
    </row>
    <row r="125" spans="3:5" ht="24.75" customHeight="1" x14ac:dyDescent="0.25">
      <c r="C125" s="3"/>
      <c r="D125" s="3"/>
      <c r="E125" s="3"/>
    </row>
    <row r="126" spans="3:5" ht="24.75" customHeight="1" x14ac:dyDescent="0.25">
      <c r="C126" s="3"/>
      <c r="D126" s="3"/>
      <c r="E126" s="3"/>
    </row>
    <row r="127" spans="3:5" ht="24.75" customHeight="1" x14ac:dyDescent="0.25">
      <c r="C127" s="3"/>
      <c r="D127" s="3"/>
      <c r="E127" s="3"/>
    </row>
    <row r="128" spans="3:5" ht="24.75" customHeight="1" x14ac:dyDescent="0.25">
      <c r="C128" s="3"/>
      <c r="D128" s="3"/>
      <c r="E128" s="3"/>
    </row>
    <row r="129" spans="3:5" ht="24.75" customHeight="1" x14ac:dyDescent="0.25">
      <c r="C129" s="3"/>
      <c r="D129" s="3"/>
      <c r="E129" s="3"/>
    </row>
    <row r="130" spans="3:5" ht="24.75" customHeight="1" x14ac:dyDescent="0.25">
      <c r="C130" s="3"/>
      <c r="D130" s="3"/>
      <c r="E130" s="3"/>
    </row>
    <row r="131" spans="3:5" ht="24.75" customHeight="1" x14ac:dyDescent="0.25">
      <c r="C131" s="3"/>
      <c r="D131" s="3"/>
      <c r="E131" s="3"/>
    </row>
    <row r="132" spans="3:5" ht="24.75" customHeight="1" x14ac:dyDescent="0.25">
      <c r="C132" s="3"/>
      <c r="D132" s="3"/>
      <c r="E132" s="3"/>
    </row>
    <row r="133" spans="3:5" ht="24.75" customHeight="1" x14ac:dyDescent="0.25">
      <c r="C133" s="3"/>
      <c r="D133" s="3"/>
      <c r="E133" s="3"/>
    </row>
    <row r="134" spans="3:5" ht="24.75" customHeight="1" x14ac:dyDescent="0.25">
      <c r="C134" s="3"/>
      <c r="D134" s="3"/>
      <c r="E134" s="3"/>
    </row>
    <row r="135" spans="3:5" ht="24.75" customHeight="1" x14ac:dyDescent="0.25">
      <c r="C135" s="3"/>
      <c r="D135" s="3"/>
      <c r="E135" s="3"/>
    </row>
    <row r="136" spans="3:5" ht="24.75" customHeight="1" x14ac:dyDescent="0.25">
      <c r="C136" s="3"/>
      <c r="D136" s="3"/>
      <c r="E136" s="3"/>
    </row>
    <row r="137" spans="3:5" ht="24.75" customHeight="1" x14ac:dyDescent="0.25">
      <c r="C137" s="3"/>
      <c r="D137" s="3"/>
      <c r="E137" s="3"/>
    </row>
    <row r="138" spans="3:5" ht="24.75" customHeight="1" x14ac:dyDescent="0.25">
      <c r="C138" s="3"/>
      <c r="D138" s="3"/>
      <c r="E138" s="3"/>
    </row>
    <row r="139" spans="3:5" ht="24.75" customHeight="1" x14ac:dyDescent="0.25">
      <c r="C139" s="3"/>
      <c r="D139" s="3"/>
      <c r="E139" s="3"/>
    </row>
    <row r="140" spans="3:5" ht="24.75" customHeight="1" x14ac:dyDescent="0.25">
      <c r="C140" s="3"/>
      <c r="D140" s="3"/>
      <c r="E140" s="3"/>
    </row>
    <row r="141" spans="3:5" ht="24.75" customHeight="1" x14ac:dyDescent="0.25">
      <c r="C141" s="3"/>
      <c r="D141" s="3"/>
      <c r="E141" s="3"/>
    </row>
    <row r="142" spans="3:5" ht="24.75" customHeight="1" x14ac:dyDescent="0.25">
      <c r="C142" s="3"/>
      <c r="D142" s="3"/>
      <c r="E142" s="3"/>
    </row>
    <row r="143" spans="3:5" ht="24.75" customHeight="1" x14ac:dyDescent="0.25">
      <c r="C143" s="3"/>
      <c r="D143" s="3"/>
      <c r="E143" s="3"/>
    </row>
    <row r="144" spans="3:5" ht="24.75" customHeight="1" x14ac:dyDescent="0.25">
      <c r="C144" s="3"/>
      <c r="D144" s="3"/>
      <c r="E144" s="3"/>
    </row>
    <row r="145" spans="3:5" ht="24.75" customHeight="1" x14ac:dyDescent="0.25">
      <c r="C145" s="3"/>
      <c r="D145" s="3"/>
      <c r="E145" s="3"/>
    </row>
    <row r="146" spans="3:5" ht="24.75" customHeight="1" x14ac:dyDescent="0.25">
      <c r="C146" s="3"/>
      <c r="D146" s="3"/>
      <c r="E146" s="3"/>
    </row>
    <row r="147" spans="3:5" ht="24.75" customHeight="1" x14ac:dyDescent="0.25">
      <c r="C147" s="3"/>
      <c r="D147" s="3"/>
      <c r="E147" s="3"/>
    </row>
    <row r="148" spans="3:5" ht="24.75" customHeight="1" x14ac:dyDescent="0.25">
      <c r="C148" s="3"/>
      <c r="D148" s="3"/>
      <c r="E148" s="3"/>
    </row>
    <row r="149" spans="3:5" ht="24.75" customHeight="1" x14ac:dyDescent="0.25">
      <c r="C149" s="3"/>
      <c r="D149" s="3"/>
      <c r="E149" s="3"/>
    </row>
    <row r="150" spans="3:5" ht="24.75" customHeight="1" x14ac:dyDescent="0.25">
      <c r="C150" s="3"/>
      <c r="D150" s="3"/>
      <c r="E150" s="3"/>
    </row>
    <row r="151" spans="3:5" ht="24.75" customHeight="1" x14ac:dyDescent="0.25">
      <c r="C151" s="3"/>
      <c r="D151" s="3"/>
      <c r="E151" s="3"/>
    </row>
    <row r="152" spans="3:5" ht="24.75" customHeight="1" x14ac:dyDescent="0.25">
      <c r="C152" s="3"/>
      <c r="D152" s="3"/>
      <c r="E152" s="3"/>
    </row>
    <row r="153" spans="3:5" ht="24.75" customHeight="1" x14ac:dyDescent="0.25">
      <c r="C153" s="3"/>
      <c r="D153" s="3"/>
      <c r="E153" s="3"/>
    </row>
    <row r="154" spans="3:5" ht="24.75" customHeight="1" x14ac:dyDescent="0.25">
      <c r="C154" s="3"/>
      <c r="D154" s="3"/>
      <c r="E154" s="3"/>
    </row>
    <row r="155" spans="3:5" ht="24.75" customHeight="1" x14ac:dyDescent="0.25">
      <c r="C155" s="3"/>
      <c r="D155" s="3"/>
      <c r="E155" s="3"/>
    </row>
    <row r="156" spans="3:5" ht="24.75" customHeight="1" x14ac:dyDescent="0.25">
      <c r="C156" s="3"/>
      <c r="D156" s="3"/>
      <c r="E156" s="3"/>
    </row>
    <row r="157" spans="3:5" ht="24.75" customHeight="1" x14ac:dyDescent="0.25">
      <c r="C157" s="3"/>
      <c r="D157" s="3"/>
      <c r="E157" s="3"/>
    </row>
    <row r="158" spans="3:5" ht="24.75" customHeight="1" x14ac:dyDescent="0.25">
      <c r="C158" s="3"/>
      <c r="D158" s="3"/>
      <c r="E158" s="3"/>
    </row>
    <row r="159" spans="3:5" ht="24.75" customHeight="1" x14ac:dyDescent="0.25">
      <c r="C159" s="3"/>
      <c r="D159" s="3"/>
      <c r="E159" s="3"/>
    </row>
    <row r="160" spans="3:5" ht="24.75" customHeight="1" x14ac:dyDescent="0.25">
      <c r="C160" s="3"/>
      <c r="D160" s="3"/>
      <c r="E160" s="3"/>
    </row>
    <row r="161" spans="3:5" ht="24.75" customHeight="1" x14ac:dyDescent="0.25">
      <c r="C161" s="3"/>
      <c r="D161" s="3"/>
      <c r="E161" s="3"/>
    </row>
    <row r="162" spans="3:5" ht="24.75" customHeight="1" x14ac:dyDescent="0.25">
      <c r="C162" s="3"/>
      <c r="D162" s="3"/>
      <c r="E162" s="3"/>
    </row>
    <row r="163" spans="3:5" ht="24.75" customHeight="1" x14ac:dyDescent="0.25">
      <c r="C163" s="3"/>
      <c r="D163" s="3"/>
      <c r="E163" s="3"/>
    </row>
    <row r="164" spans="3:5" ht="24.75" customHeight="1" x14ac:dyDescent="0.25">
      <c r="C164" s="3"/>
      <c r="D164" s="3"/>
      <c r="E164" s="3"/>
    </row>
    <row r="165" spans="3:5" ht="24.75" customHeight="1" x14ac:dyDescent="0.25">
      <c r="C165" s="3"/>
      <c r="D165" s="3"/>
      <c r="E165" s="3"/>
    </row>
    <row r="166" spans="3:5" ht="24.75" customHeight="1" x14ac:dyDescent="0.25">
      <c r="C166" s="3"/>
      <c r="D166" s="3"/>
      <c r="E166" s="3"/>
    </row>
    <row r="167" spans="3:5" ht="24.75" customHeight="1" x14ac:dyDescent="0.25">
      <c r="C167" s="3"/>
      <c r="D167" s="3"/>
      <c r="E167" s="3"/>
    </row>
    <row r="168" spans="3:5" ht="24.75" customHeight="1" x14ac:dyDescent="0.25">
      <c r="C168" s="3"/>
      <c r="D168" s="3"/>
      <c r="E168" s="3"/>
    </row>
    <row r="169" spans="3:5" ht="24.75" customHeight="1" x14ac:dyDescent="0.25">
      <c r="C169" s="3"/>
      <c r="D169" s="3"/>
      <c r="E169" s="3"/>
    </row>
    <row r="170" spans="3:5" ht="24.75" customHeight="1" x14ac:dyDescent="0.25">
      <c r="C170" s="3"/>
      <c r="D170" s="3"/>
      <c r="E170" s="3"/>
    </row>
    <row r="171" spans="3:5" ht="24.75" customHeight="1" x14ac:dyDescent="0.25">
      <c r="C171" s="3"/>
      <c r="D171" s="3"/>
      <c r="E171" s="3"/>
    </row>
    <row r="172" spans="3:5" ht="24.75" customHeight="1" x14ac:dyDescent="0.25">
      <c r="C172" s="3"/>
      <c r="D172" s="3"/>
      <c r="E172" s="3"/>
    </row>
    <row r="173" spans="3:5" ht="24.75" customHeight="1" x14ac:dyDescent="0.25">
      <c r="C173" s="3"/>
      <c r="D173" s="3"/>
      <c r="E173" s="3"/>
    </row>
    <row r="174" spans="3:5" ht="24.75" customHeight="1" x14ac:dyDescent="0.25">
      <c r="C174" s="3"/>
      <c r="D174" s="3"/>
      <c r="E174" s="3"/>
    </row>
    <row r="175" spans="3:5" ht="24.75" customHeight="1" x14ac:dyDescent="0.25">
      <c r="C175" s="3"/>
      <c r="D175" s="3"/>
      <c r="E175" s="3"/>
    </row>
    <row r="176" spans="3:5" ht="24.75" customHeight="1" x14ac:dyDescent="0.25">
      <c r="C176" s="3"/>
      <c r="D176" s="3"/>
      <c r="E176" s="3"/>
    </row>
    <row r="177" spans="3:5" ht="24.75" customHeight="1" x14ac:dyDescent="0.25">
      <c r="C177" s="3"/>
      <c r="D177" s="3"/>
      <c r="E177" s="3"/>
    </row>
    <row r="178" spans="3:5" ht="24.75" customHeight="1" x14ac:dyDescent="0.25">
      <c r="C178" s="3"/>
      <c r="D178" s="3"/>
      <c r="E178" s="3"/>
    </row>
    <row r="179" spans="3:5" ht="24.75" customHeight="1" x14ac:dyDescent="0.25">
      <c r="C179" s="3"/>
      <c r="D179" s="3"/>
      <c r="E179" s="3"/>
    </row>
    <row r="180" spans="3:5" ht="24.75" customHeight="1" x14ac:dyDescent="0.25">
      <c r="C180" s="3"/>
      <c r="D180" s="3"/>
      <c r="E180" s="3"/>
    </row>
    <row r="181" spans="3:5" ht="24.75" customHeight="1" x14ac:dyDescent="0.25">
      <c r="C181" s="3"/>
      <c r="D181" s="3"/>
      <c r="E181" s="3"/>
    </row>
    <row r="182" spans="3:5" ht="24.75" customHeight="1" x14ac:dyDescent="0.25">
      <c r="C182" s="3"/>
      <c r="D182" s="3"/>
      <c r="E182" s="3"/>
    </row>
    <row r="183" spans="3:5" ht="24.75" customHeight="1" x14ac:dyDescent="0.25">
      <c r="C183" s="3"/>
      <c r="D183" s="3"/>
      <c r="E183" s="3"/>
    </row>
    <row r="184" spans="3:5" ht="24.75" customHeight="1" x14ac:dyDescent="0.25">
      <c r="C184" s="3"/>
      <c r="D184" s="3"/>
      <c r="E184" s="3"/>
    </row>
    <row r="185" spans="3:5" ht="24.75" customHeight="1" x14ac:dyDescent="0.25">
      <c r="C185" s="3"/>
      <c r="D185" s="3"/>
      <c r="E185" s="3"/>
    </row>
    <row r="186" spans="3:5" ht="24.75" customHeight="1" x14ac:dyDescent="0.25">
      <c r="C186" s="3"/>
      <c r="D186" s="3"/>
      <c r="E186" s="3"/>
    </row>
    <row r="187" spans="3:5" ht="24.75" customHeight="1" x14ac:dyDescent="0.25">
      <c r="C187" s="3"/>
      <c r="D187" s="3"/>
      <c r="E187" s="3"/>
    </row>
    <row r="188" spans="3:5" ht="24.75" customHeight="1" x14ac:dyDescent="0.25">
      <c r="C188" s="3"/>
      <c r="D188" s="3"/>
      <c r="E188" s="3"/>
    </row>
    <row r="189" spans="3:5" ht="24.75" customHeight="1" x14ac:dyDescent="0.25">
      <c r="C189" s="3"/>
      <c r="D189" s="3"/>
      <c r="E189" s="3"/>
    </row>
    <row r="190" spans="3:5" ht="24.75" customHeight="1" x14ac:dyDescent="0.25">
      <c r="C190" s="3"/>
      <c r="D190" s="3"/>
      <c r="E190" s="3"/>
    </row>
    <row r="191" spans="3:5" ht="24.75" customHeight="1" x14ac:dyDescent="0.25">
      <c r="C191" s="3"/>
      <c r="D191" s="3"/>
      <c r="E191" s="3"/>
    </row>
    <row r="192" spans="3:5" ht="24.75" customHeight="1" x14ac:dyDescent="0.25">
      <c r="C192" s="3"/>
      <c r="D192" s="3"/>
      <c r="E192" s="3"/>
    </row>
    <row r="193" spans="3:5" ht="24.75" customHeight="1" x14ac:dyDescent="0.25">
      <c r="C193" s="3"/>
      <c r="D193" s="3"/>
      <c r="E193" s="3"/>
    </row>
    <row r="194" spans="3:5" ht="24.75" customHeight="1" x14ac:dyDescent="0.25">
      <c r="C194" s="3"/>
      <c r="D194" s="3"/>
      <c r="E194" s="3"/>
    </row>
    <row r="195" spans="3:5" ht="24.75" customHeight="1" x14ac:dyDescent="0.25">
      <c r="C195" s="3"/>
      <c r="D195" s="3"/>
      <c r="E195" s="3"/>
    </row>
    <row r="196" spans="3:5" ht="24.75" customHeight="1" x14ac:dyDescent="0.25">
      <c r="C196" s="3"/>
      <c r="D196" s="3"/>
      <c r="E196" s="3"/>
    </row>
    <row r="197" spans="3:5" ht="24.75" customHeight="1" x14ac:dyDescent="0.25">
      <c r="C197" s="3"/>
      <c r="D197" s="3"/>
      <c r="E197" s="3"/>
    </row>
    <row r="198" spans="3:5" ht="24.75" customHeight="1" x14ac:dyDescent="0.25">
      <c r="C198" s="3"/>
      <c r="D198" s="3"/>
      <c r="E198" s="3"/>
    </row>
    <row r="199" spans="3:5" ht="24.75" customHeight="1" x14ac:dyDescent="0.25">
      <c r="C199" s="3"/>
      <c r="D199" s="3"/>
      <c r="E199" s="3"/>
    </row>
    <row r="200" spans="3:5" ht="24.75" customHeight="1" x14ac:dyDescent="0.25">
      <c r="C200" s="3"/>
      <c r="D200" s="3"/>
      <c r="E200" s="3"/>
    </row>
    <row r="201" spans="3:5" ht="24.75" customHeight="1" x14ac:dyDescent="0.25">
      <c r="C201" s="3"/>
      <c r="D201" s="3"/>
      <c r="E201" s="3"/>
    </row>
    <row r="202" spans="3:5" ht="24.75" customHeight="1" x14ac:dyDescent="0.25">
      <c r="C202" s="3"/>
      <c r="D202" s="3"/>
      <c r="E202" s="3"/>
    </row>
    <row r="203" spans="3:5" ht="24.75" customHeight="1" x14ac:dyDescent="0.25">
      <c r="C203" s="3"/>
      <c r="D203" s="3"/>
      <c r="E203" s="3"/>
    </row>
    <row r="204" spans="3:5" ht="24.75" customHeight="1" x14ac:dyDescent="0.25">
      <c r="C204" s="3"/>
      <c r="D204" s="3"/>
      <c r="E204" s="3"/>
    </row>
    <row r="205" spans="3:5" ht="24.75" customHeight="1" x14ac:dyDescent="0.25">
      <c r="C205" s="3"/>
      <c r="D205" s="3"/>
      <c r="E205" s="3"/>
    </row>
    <row r="206" spans="3:5" ht="24.75" customHeight="1" x14ac:dyDescent="0.25">
      <c r="C206" s="3"/>
      <c r="D206" s="3"/>
      <c r="E206" s="3"/>
    </row>
    <row r="207" spans="3:5" ht="24.75" customHeight="1" x14ac:dyDescent="0.25">
      <c r="C207" s="3"/>
      <c r="D207" s="3"/>
      <c r="E207" s="3"/>
    </row>
    <row r="208" spans="3:5" ht="24.75" customHeight="1" x14ac:dyDescent="0.25">
      <c r="C208" s="3"/>
      <c r="D208" s="3"/>
      <c r="E208" s="3"/>
    </row>
    <row r="209" spans="3:5" ht="24.75" customHeight="1" x14ac:dyDescent="0.25">
      <c r="C209" s="3"/>
      <c r="D209" s="3"/>
      <c r="E209" s="3"/>
    </row>
    <row r="210" spans="3:5" ht="24.75" customHeight="1" x14ac:dyDescent="0.25">
      <c r="C210" s="3"/>
      <c r="D210" s="3"/>
      <c r="E210" s="3"/>
    </row>
    <row r="211" spans="3:5" ht="24.75" customHeight="1" x14ac:dyDescent="0.25">
      <c r="C211" s="3"/>
      <c r="D211" s="3"/>
      <c r="E211" s="3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1"/>
  <sheetViews>
    <sheetView topLeftCell="A4" workbookViewId="0">
      <selection activeCell="G13" sqref="G13"/>
    </sheetView>
  </sheetViews>
  <sheetFormatPr baseColWidth="10" defaultColWidth="11.42578125" defaultRowHeight="24.75" customHeight="1" x14ac:dyDescent="0.25"/>
  <cols>
    <col min="1" max="1" width="7.42578125" style="1" customWidth="1"/>
    <col min="2" max="2" width="48.140625" style="1" customWidth="1"/>
    <col min="3" max="3" width="24.5703125" style="1" customWidth="1"/>
    <col min="4" max="4" width="11.42578125" style="1"/>
    <col min="5" max="5" width="17.42578125" style="1" bestFit="1" customWidth="1"/>
    <col min="6" max="16384" width="11.42578125" style="1"/>
  </cols>
  <sheetData>
    <row r="3" spans="1:10" ht="24.75" customHeight="1" x14ac:dyDescent="0.25">
      <c r="A3" s="54"/>
      <c r="B3" s="539" t="s">
        <v>301</v>
      </c>
      <c r="C3" s="539"/>
      <c r="D3" s="54"/>
      <c r="G3" s="50"/>
      <c r="H3" s="50"/>
      <c r="I3" s="50"/>
      <c r="J3" s="50"/>
    </row>
    <row r="4" spans="1:10" ht="24.75" customHeight="1" x14ac:dyDescent="0.25">
      <c r="A4" s="54"/>
      <c r="B4" s="539" t="s">
        <v>280</v>
      </c>
      <c r="C4" s="539"/>
      <c r="D4" s="54"/>
      <c r="G4" s="50"/>
      <c r="H4" s="50"/>
      <c r="I4" s="50"/>
      <c r="J4" s="50"/>
    </row>
    <row r="5" spans="1:10" ht="24.75" customHeight="1" x14ac:dyDescent="0.25">
      <c r="A5" s="54"/>
      <c r="B5" s="539" t="s">
        <v>302</v>
      </c>
      <c r="C5" s="539"/>
      <c r="D5" s="54"/>
      <c r="G5" s="50"/>
      <c r="H5" s="50"/>
      <c r="I5" s="50"/>
      <c r="J5" s="50"/>
    </row>
    <row r="6" spans="1:10" ht="24.75" customHeight="1" x14ac:dyDescent="0.25">
      <c r="A6" s="54"/>
      <c r="B6" s="551">
        <v>45626</v>
      </c>
      <c r="C6" s="551"/>
      <c r="D6" s="102"/>
      <c r="E6" s="102"/>
    </row>
    <row r="7" spans="1:10" ht="24.75" customHeight="1" thickBot="1" x14ac:dyDescent="0.3">
      <c r="A7" s="54"/>
      <c r="B7" s="70"/>
      <c r="C7" s="70"/>
      <c r="D7" s="54"/>
    </row>
    <row r="8" spans="1:10" ht="24.75" customHeight="1" thickBot="1" x14ac:dyDescent="0.3">
      <c r="A8" s="54"/>
      <c r="B8" s="73" t="s">
        <v>266</v>
      </c>
      <c r="C8" s="75" t="s">
        <v>283</v>
      </c>
      <c r="D8" s="54"/>
    </row>
    <row r="9" spans="1:10" ht="24.75" customHeight="1" x14ac:dyDescent="0.25">
      <c r="A9" s="54"/>
      <c r="B9" s="103" t="s">
        <v>303</v>
      </c>
      <c r="C9" s="510">
        <f>+'NOTA 3-C-CONST '!F35</f>
        <v>8547806.209999999</v>
      </c>
      <c r="D9" s="54"/>
    </row>
    <row r="10" spans="1:10" ht="24.75" customHeight="1" x14ac:dyDescent="0.25">
      <c r="A10" s="54"/>
      <c r="B10" s="105" t="s">
        <v>304</v>
      </c>
      <c r="C10" s="511">
        <f>+'NOTA 3-ANTIC COMP Y OTRAS'!E23</f>
        <v>4798540.8099999996</v>
      </c>
      <c r="D10" s="54"/>
    </row>
    <row r="11" spans="1:10" ht="24.75" hidden="1" customHeight="1" x14ac:dyDescent="0.25">
      <c r="A11" s="54"/>
      <c r="B11" s="105" t="s">
        <v>305</v>
      </c>
      <c r="C11" s="511">
        <f>+'NOTA 3-Intereses'!C11</f>
        <v>0</v>
      </c>
      <c r="D11" s="54"/>
    </row>
    <row r="12" spans="1:10" ht="24.75" hidden="1" customHeight="1" x14ac:dyDescent="0.25">
      <c r="A12" s="54"/>
      <c r="B12" s="105" t="s">
        <v>306</v>
      </c>
      <c r="C12" s="511">
        <f>+'Nota 3 CxC Emplead'!I10</f>
        <v>0</v>
      </c>
      <c r="D12" s="54"/>
    </row>
    <row r="13" spans="1:10" ht="24.75" customHeight="1" x14ac:dyDescent="0.4">
      <c r="A13" s="54"/>
      <c r="B13" s="105" t="s">
        <v>307</v>
      </c>
      <c r="C13" s="512">
        <f>+'NOTA 3-C X C'!C12</f>
        <v>382879.32</v>
      </c>
      <c r="D13" s="54"/>
    </row>
    <row r="14" spans="1:10" ht="24.75" customHeight="1" x14ac:dyDescent="0.4">
      <c r="A14" s="54"/>
      <c r="B14" s="108" t="s">
        <v>300</v>
      </c>
      <c r="C14" s="513">
        <f>SUM(C9:C13)</f>
        <v>13729226.34</v>
      </c>
      <c r="D14" s="54"/>
    </row>
    <row r="15" spans="1:10" ht="24.75" customHeight="1" thickBot="1" x14ac:dyDescent="0.3">
      <c r="A15" s="54"/>
      <c r="B15" s="110"/>
      <c r="C15" s="111"/>
      <c r="D15" s="54"/>
    </row>
    <row r="16" spans="1:10" ht="24.75" customHeight="1" x14ac:dyDescent="0.25">
      <c r="C16" s="20"/>
    </row>
    <row r="17" spans="3:3" ht="24.75" customHeight="1" x14ac:dyDescent="0.25">
      <c r="C17" s="20"/>
    </row>
    <row r="18" spans="3:3" ht="24.75" customHeight="1" x14ac:dyDescent="0.25">
      <c r="C18" s="20"/>
    </row>
    <row r="19" spans="3:3" ht="24.75" customHeight="1" x14ac:dyDescent="0.25">
      <c r="C19" s="20"/>
    </row>
    <row r="20" spans="3:3" ht="24.75" customHeight="1" x14ac:dyDescent="0.25">
      <c r="C20" s="20"/>
    </row>
    <row r="21" spans="3:3" ht="24.75" customHeight="1" x14ac:dyDescent="0.25">
      <c r="C21" s="20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52"/>
  <sheetViews>
    <sheetView topLeftCell="A29" zoomScaleNormal="100" zoomScaleSheetLayoutView="80" workbookViewId="0">
      <selection activeCell="G13" sqref="G13"/>
    </sheetView>
  </sheetViews>
  <sheetFormatPr baseColWidth="10" defaultColWidth="9.140625" defaultRowHeight="15.75" x14ac:dyDescent="0.25"/>
  <cols>
    <col min="1" max="1" width="7.5703125" style="1" bestFit="1" customWidth="1"/>
    <col min="2" max="2" width="46.7109375" style="1" customWidth="1"/>
    <col min="3" max="3" width="68.85546875" style="1" customWidth="1"/>
    <col min="4" max="4" width="18.85546875" style="2" customWidth="1"/>
    <col min="5" max="5" width="18" style="2" bestFit="1" customWidth="1"/>
    <col min="6" max="6" width="20" style="2" customWidth="1"/>
    <col min="7" max="7" width="12.5703125" style="2" customWidth="1"/>
    <col min="8" max="8" width="21.140625" style="1" customWidth="1"/>
    <col min="9" max="9" width="16.85546875" style="1" bestFit="1" customWidth="1"/>
    <col min="10" max="10" width="9.85546875" style="1" bestFit="1" customWidth="1"/>
    <col min="11" max="16384" width="9.140625" style="1"/>
  </cols>
  <sheetData>
    <row r="1" spans="2:7" ht="18" customHeight="1" x14ac:dyDescent="0.25">
      <c r="B1" s="539"/>
      <c r="C1" s="539"/>
      <c r="D1" s="539"/>
      <c r="E1" s="539"/>
      <c r="F1" s="539"/>
    </row>
    <row r="2" spans="2:7" ht="24.75" customHeight="1" x14ac:dyDescent="0.25">
      <c r="B2" s="50"/>
      <c r="C2" s="50"/>
      <c r="D2" s="50"/>
      <c r="E2" s="50"/>
      <c r="F2" s="50"/>
    </row>
    <row r="3" spans="2:7" ht="24.75" customHeight="1" x14ac:dyDescent="0.25">
      <c r="B3" s="539" t="s">
        <v>301</v>
      </c>
      <c r="C3" s="539"/>
      <c r="D3" s="539"/>
      <c r="E3" s="539"/>
      <c r="F3" s="539"/>
    </row>
    <row r="4" spans="2:7" ht="24.75" customHeight="1" x14ac:dyDescent="0.25">
      <c r="B4" s="539" t="s">
        <v>280</v>
      </c>
      <c r="C4" s="539"/>
      <c r="D4" s="539"/>
      <c r="E4" s="539"/>
      <c r="F4" s="539"/>
    </row>
    <row r="5" spans="2:7" ht="24.75" customHeight="1" x14ac:dyDescent="0.25">
      <c r="B5" s="539" t="s">
        <v>308</v>
      </c>
      <c r="C5" s="539"/>
      <c r="D5" s="539"/>
      <c r="E5" s="539"/>
      <c r="F5" s="539"/>
    </row>
    <row r="6" spans="2:7" ht="24.75" customHeight="1" x14ac:dyDescent="0.25">
      <c r="B6" s="551">
        <v>45626</v>
      </c>
      <c r="C6" s="551"/>
      <c r="D6" s="551"/>
      <c r="E6" s="551"/>
      <c r="F6" s="551"/>
    </row>
    <row r="7" spans="2:7" ht="24.75" customHeight="1" thickBot="1" x14ac:dyDescent="0.3">
      <c r="D7" s="1"/>
      <c r="E7" s="1"/>
      <c r="F7" s="1"/>
    </row>
    <row r="8" spans="2:7" ht="24.75" customHeight="1" x14ac:dyDescent="0.25">
      <c r="B8" s="554" t="s">
        <v>266</v>
      </c>
      <c r="C8" s="555"/>
      <c r="D8" s="112" t="s">
        <v>309</v>
      </c>
      <c r="E8" s="558" t="s">
        <v>310</v>
      </c>
      <c r="F8" s="113" t="s">
        <v>309</v>
      </c>
      <c r="G8" s="1"/>
    </row>
    <row r="9" spans="2:7" ht="24.75" customHeight="1" thickBot="1" x14ac:dyDescent="0.3">
      <c r="B9" s="556"/>
      <c r="C9" s="557"/>
      <c r="D9" s="114" t="s">
        <v>311</v>
      </c>
      <c r="E9" s="559"/>
      <c r="F9" s="115" t="s">
        <v>312</v>
      </c>
      <c r="G9" s="1"/>
    </row>
    <row r="10" spans="2:7" ht="39.6" customHeight="1" x14ac:dyDescent="0.25">
      <c r="B10" s="552" t="s">
        <v>313</v>
      </c>
      <c r="C10" s="116" t="s">
        <v>314</v>
      </c>
      <c r="D10" s="117">
        <v>617492.96</v>
      </c>
      <c r="E10" s="117"/>
      <c r="F10" s="117">
        <f t="shared" ref="F10:F12" si="0">D10-E10</f>
        <v>617492.96</v>
      </c>
      <c r="G10" s="1"/>
    </row>
    <row r="11" spans="2:7" ht="39.6" customHeight="1" x14ac:dyDescent="0.25">
      <c r="B11" s="553"/>
      <c r="C11" s="118" t="s">
        <v>315</v>
      </c>
      <c r="D11" s="92">
        <v>4476.88</v>
      </c>
      <c r="E11" s="92"/>
      <c r="F11" s="92">
        <f t="shared" si="0"/>
        <v>4476.88</v>
      </c>
      <c r="G11" s="1"/>
    </row>
    <row r="12" spans="2:7" ht="39.6" customHeight="1" x14ac:dyDescent="0.25">
      <c r="B12" s="119" t="s">
        <v>316</v>
      </c>
      <c r="C12" s="118" t="s">
        <v>317</v>
      </c>
      <c r="D12" s="92">
        <v>743275.76</v>
      </c>
      <c r="E12" s="92"/>
      <c r="F12" s="92">
        <f t="shared" si="0"/>
        <v>743275.76</v>
      </c>
      <c r="G12" s="1"/>
    </row>
    <row r="13" spans="2:7" ht="39.6" customHeight="1" x14ac:dyDescent="0.25">
      <c r="B13" s="120" t="s">
        <v>318</v>
      </c>
      <c r="C13" s="118" t="s">
        <v>319</v>
      </c>
      <c r="D13" s="92">
        <v>27945.799999999988</v>
      </c>
      <c r="E13" s="92"/>
      <c r="F13" s="92">
        <f>D13-E13</f>
        <v>27945.799999999988</v>
      </c>
    </row>
    <row r="14" spans="2:7" ht="39.6" customHeight="1" x14ac:dyDescent="0.25">
      <c r="B14" s="119" t="s">
        <v>320</v>
      </c>
      <c r="C14" s="118" t="s">
        <v>321</v>
      </c>
      <c r="D14" s="92">
        <v>25017.630000000005</v>
      </c>
      <c r="E14" s="92"/>
      <c r="F14" s="92">
        <f>D14-E14</f>
        <v>25017.630000000005</v>
      </c>
    </row>
    <row r="15" spans="2:7" ht="39.6" customHeight="1" x14ac:dyDescent="0.25">
      <c r="B15" s="120" t="s">
        <v>322</v>
      </c>
      <c r="C15" s="118" t="s">
        <v>323</v>
      </c>
      <c r="D15" s="92">
        <v>601501.59</v>
      </c>
      <c r="E15" s="92"/>
      <c r="F15" s="92">
        <f>D15-E15</f>
        <v>601501.59</v>
      </c>
    </row>
    <row r="16" spans="2:7" ht="39.6" customHeight="1" x14ac:dyDescent="0.25">
      <c r="B16" s="119" t="s">
        <v>324</v>
      </c>
      <c r="C16" s="118" t="s">
        <v>325</v>
      </c>
      <c r="D16" s="92">
        <v>608783.95000000007</v>
      </c>
      <c r="E16" s="92"/>
      <c r="F16" s="92">
        <f>D16-E16</f>
        <v>608783.95000000007</v>
      </c>
    </row>
    <row r="17" spans="2:9" ht="39.6" customHeight="1" x14ac:dyDescent="0.25">
      <c r="B17" s="119" t="s">
        <v>326</v>
      </c>
      <c r="C17" s="118" t="s">
        <v>327</v>
      </c>
      <c r="D17" s="92">
        <v>814702.41</v>
      </c>
      <c r="E17" s="92">
        <f>60932.32+89366.58+114703.52+206038.52+116814.12+162730.25</f>
        <v>750585.30999999994</v>
      </c>
      <c r="F17" s="92">
        <f t="shared" ref="F17:F29" si="1">D17-E17</f>
        <v>64117.100000000093</v>
      </c>
      <c r="H17" s="30"/>
      <c r="I17" s="30"/>
    </row>
    <row r="18" spans="2:9" ht="39.6" customHeight="1" x14ac:dyDescent="0.25">
      <c r="B18" s="119" t="s">
        <v>328</v>
      </c>
      <c r="C18" s="118" t="s">
        <v>329</v>
      </c>
      <c r="D18" s="92">
        <v>104068.5</v>
      </c>
      <c r="E18" s="92">
        <v>91558.02</v>
      </c>
      <c r="F18" s="92">
        <f t="shared" si="1"/>
        <v>12510.479999999996</v>
      </c>
    </row>
    <row r="19" spans="2:9" ht="39.6" customHeight="1" x14ac:dyDescent="0.25">
      <c r="B19" s="120" t="s">
        <v>330</v>
      </c>
      <c r="C19" s="118" t="s">
        <v>331</v>
      </c>
      <c r="D19" s="92">
        <v>5506.4100000000108</v>
      </c>
      <c r="E19" s="92"/>
      <c r="F19" s="92">
        <f t="shared" si="1"/>
        <v>5506.4100000000108</v>
      </c>
    </row>
    <row r="20" spans="2:9" ht="39.6" customHeight="1" x14ac:dyDescent="0.25">
      <c r="B20" s="119" t="s">
        <v>332</v>
      </c>
      <c r="C20" s="118" t="s">
        <v>333</v>
      </c>
      <c r="D20" s="92">
        <v>499058.10999999993</v>
      </c>
      <c r="E20" s="92"/>
      <c r="F20" s="92">
        <f t="shared" si="1"/>
        <v>499058.10999999993</v>
      </c>
    </row>
    <row r="21" spans="2:9" ht="39.6" customHeight="1" x14ac:dyDescent="0.25">
      <c r="B21" s="119" t="s">
        <v>334</v>
      </c>
      <c r="C21" s="118" t="s">
        <v>335</v>
      </c>
      <c r="D21" s="92">
        <v>639569.22</v>
      </c>
      <c r="E21" s="92">
        <v>46161.86</v>
      </c>
      <c r="F21" s="92">
        <f t="shared" si="1"/>
        <v>593407.36</v>
      </c>
      <c r="I21" s="121"/>
    </row>
    <row r="22" spans="2:9" ht="39.6" customHeight="1" x14ac:dyDescent="0.25">
      <c r="B22" s="119" t="s">
        <v>336</v>
      </c>
      <c r="C22" s="118" t="s">
        <v>337</v>
      </c>
      <c r="D22" s="92">
        <v>851941.5199999999</v>
      </c>
      <c r="E22" s="92">
        <f>67011.97+323371.84+273564.81</f>
        <v>663948.62000000011</v>
      </c>
      <c r="F22" s="92">
        <f t="shared" si="1"/>
        <v>187992.89999999979</v>
      </c>
      <c r="H22" s="20"/>
    </row>
    <row r="23" spans="2:9" ht="39.6" customHeight="1" x14ac:dyDescent="0.25">
      <c r="B23" s="119" t="s">
        <v>338</v>
      </c>
      <c r="C23" s="118" t="s">
        <v>339</v>
      </c>
      <c r="D23" s="92">
        <v>537913.55000000005</v>
      </c>
      <c r="E23" s="92">
        <f>120419.27+411350.52</f>
        <v>531769.79</v>
      </c>
      <c r="F23" s="92">
        <f t="shared" si="1"/>
        <v>6143.7600000000093</v>
      </c>
      <c r="H23" s="20"/>
    </row>
    <row r="24" spans="2:9" ht="45.75" customHeight="1" x14ac:dyDescent="0.25">
      <c r="B24" s="119" t="s">
        <v>340</v>
      </c>
      <c r="C24" s="118" t="s">
        <v>341</v>
      </c>
      <c r="D24" s="92">
        <v>811013.05000000016</v>
      </c>
      <c r="E24" s="92">
        <f>46165.68+60453.88+61520.11+146866.88</f>
        <v>315006.55</v>
      </c>
      <c r="F24" s="92">
        <f t="shared" si="1"/>
        <v>496006.50000000017</v>
      </c>
      <c r="H24" s="20"/>
    </row>
    <row r="25" spans="2:9" ht="31.5" x14ac:dyDescent="0.25">
      <c r="B25" s="119" t="s">
        <v>342</v>
      </c>
      <c r="C25" s="118" t="s">
        <v>343</v>
      </c>
      <c r="D25" s="92">
        <v>1762344.18</v>
      </c>
      <c r="E25" s="92">
        <f>235574.08+226712.69+213416.11+229506.01+236973.83</f>
        <v>1142182.72</v>
      </c>
      <c r="F25" s="92">
        <f t="shared" si="1"/>
        <v>620161.46</v>
      </c>
      <c r="H25" s="20"/>
    </row>
    <row r="26" spans="2:9" ht="39.6" customHeight="1" x14ac:dyDescent="0.25">
      <c r="B26" s="119" t="s">
        <v>344</v>
      </c>
      <c r="C26" s="118" t="s">
        <v>345</v>
      </c>
      <c r="D26" s="92">
        <v>942080.79</v>
      </c>
      <c r="E26" s="92">
        <f>60579.28+105283.76</f>
        <v>165863.03999999998</v>
      </c>
      <c r="F26" s="92">
        <f t="shared" si="1"/>
        <v>776217.75</v>
      </c>
      <c r="H26" s="20"/>
    </row>
    <row r="27" spans="2:9" ht="39.6" customHeight="1" x14ac:dyDescent="0.25">
      <c r="B27" s="120" t="s">
        <v>330</v>
      </c>
      <c r="C27" s="118" t="s">
        <v>346</v>
      </c>
      <c r="D27" s="92">
        <v>2257548</v>
      </c>
      <c r="E27" s="92">
        <f>301624.06+330236.89+273097.18+150481.58+238893.34+241462.29+302629.52</f>
        <v>1838424.86</v>
      </c>
      <c r="F27" s="92">
        <f t="shared" si="1"/>
        <v>419123.1399999999</v>
      </c>
      <c r="H27" s="20"/>
    </row>
    <row r="28" spans="2:9" ht="39.6" customHeight="1" x14ac:dyDescent="0.25">
      <c r="B28" s="119" t="s">
        <v>330</v>
      </c>
      <c r="C28" s="118" t="s">
        <v>347</v>
      </c>
      <c r="D28" s="92">
        <v>1640362.07</v>
      </c>
      <c r="E28" s="92">
        <f>564682.61+149772.01+168279.13+347104.04+3000</f>
        <v>1232837.79</v>
      </c>
      <c r="F28" s="92">
        <f t="shared" si="1"/>
        <v>407524.28</v>
      </c>
      <c r="H28" s="20"/>
    </row>
    <row r="29" spans="2:9" ht="49.5" customHeight="1" x14ac:dyDescent="0.25">
      <c r="B29" s="119" t="s">
        <v>348</v>
      </c>
      <c r="C29" s="118" t="s">
        <v>349</v>
      </c>
      <c r="D29" s="92">
        <v>485158.58</v>
      </c>
      <c r="E29" s="92"/>
      <c r="F29" s="92">
        <f t="shared" si="1"/>
        <v>485158.58</v>
      </c>
      <c r="H29" s="20"/>
    </row>
    <row r="30" spans="2:9" ht="39.6" customHeight="1" x14ac:dyDescent="0.25">
      <c r="B30" s="120" t="s">
        <v>350</v>
      </c>
      <c r="C30" s="122" t="s">
        <v>351</v>
      </c>
      <c r="D30" s="92">
        <v>1718395.94</v>
      </c>
      <c r="E30" s="92">
        <f>640523.72+514814.38</f>
        <v>1155338.1000000001</v>
      </c>
      <c r="F30" s="92">
        <f t="shared" ref="F30:F34" si="2">D30-E30</f>
        <v>563057.83999999985</v>
      </c>
      <c r="H30" s="20"/>
    </row>
    <row r="31" spans="2:9" ht="39.6" customHeight="1" x14ac:dyDescent="0.25">
      <c r="B31" s="120" t="s">
        <v>352</v>
      </c>
      <c r="C31" s="122" t="s">
        <v>353</v>
      </c>
      <c r="D31" s="92">
        <v>1168921.01</v>
      </c>
      <c r="E31" s="92">
        <v>369830.56</v>
      </c>
      <c r="F31" s="92">
        <f t="shared" si="2"/>
        <v>799090.45</v>
      </c>
      <c r="H31" s="20"/>
    </row>
    <row r="32" spans="2:9" ht="39.6" customHeight="1" x14ac:dyDescent="0.25">
      <c r="B32" s="120" t="s">
        <v>354</v>
      </c>
      <c r="C32" s="122" t="s">
        <v>355</v>
      </c>
      <c r="D32" s="92">
        <v>939063.12</v>
      </c>
      <c r="E32" s="92">
        <f>306503.37+472144.9</f>
        <v>778648.27</v>
      </c>
      <c r="F32" s="92">
        <f t="shared" si="2"/>
        <v>160414.84999999998</v>
      </c>
      <c r="H32" s="20"/>
    </row>
    <row r="33" spans="2:8" ht="39.6" customHeight="1" x14ac:dyDescent="0.25">
      <c r="B33" s="120" t="s">
        <v>356</v>
      </c>
      <c r="C33" s="122" t="s">
        <v>357</v>
      </c>
      <c r="D33" s="92">
        <v>1252298.3899999999</v>
      </c>
      <c r="E33" s="92">
        <f>292101.94+357646.09+328346.97+266421.49</f>
        <v>1244516.49</v>
      </c>
      <c r="F33" s="92">
        <f t="shared" si="2"/>
        <v>7781.8999999999069</v>
      </c>
      <c r="H33" s="20"/>
    </row>
    <row r="34" spans="2:8" ht="53.25" customHeight="1" x14ac:dyDescent="0.4">
      <c r="B34" s="120" t="s">
        <v>358</v>
      </c>
      <c r="C34" s="122" t="s">
        <v>359</v>
      </c>
      <c r="D34" s="126">
        <v>1736309.42</v>
      </c>
      <c r="E34" s="126">
        <f>946604.68+666377.37+307288.6</f>
        <v>1920270.65</v>
      </c>
      <c r="F34" s="126">
        <f t="shared" si="2"/>
        <v>-183961.22999999998</v>
      </c>
      <c r="H34" s="20"/>
    </row>
    <row r="35" spans="2:8" ht="29.25" customHeight="1" x14ac:dyDescent="0.4">
      <c r="B35" s="123"/>
      <c r="C35" s="135" t="s">
        <v>360</v>
      </c>
      <c r="D35" s="93">
        <f>SUM(D10:D34)</f>
        <v>20794748.840000004</v>
      </c>
      <c r="E35" s="93">
        <f>SUM(E10:E34)</f>
        <v>12246942.630000001</v>
      </c>
      <c r="F35" s="93">
        <f>SUM(F10:F34)</f>
        <v>8547806.209999999</v>
      </c>
      <c r="H35" s="20">
        <f>+F35-H34</f>
        <v>8547806.209999999</v>
      </c>
    </row>
    <row r="36" spans="2:8" ht="6" customHeight="1" x14ac:dyDescent="0.25">
      <c r="B36" s="123"/>
      <c r="C36" s="123"/>
      <c r="D36" s="92"/>
      <c r="E36" s="92"/>
      <c r="F36" s="92"/>
      <c r="H36" s="20"/>
    </row>
    <row r="37" spans="2:8" x14ac:dyDescent="0.25">
      <c r="H37" s="20"/>
    </row>
    <row r="38" spans="2:8" x14ac:dyDescent="0.25">
      <c r="H38" s="20"/>
    </row>
    <row r="39" spans="2:8" x14ac:dyDescent="0.25">
      <c r="C39" s="124" t="s">
        <v>361</v>
      </c>
      <c r="F39" s="125"/>
      <c r="H39" s="20"/>
    </row>
    <row r="40" spans="2:8" x14ac:dyDescent="0.25">
      <c r="F40" s="53"/>
    </row>
    <row r="41" spans="2:8" x14ac:dyDescent="0.25">
      <c r="E41" s="28"/>
    </row>
    <row r="52" spans="6:6" x14ac:dyDescent="0.25">
      <c r="F52" s="2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35" type="noConversion"/>
  <pageMargins left="0.35433070866141736" right="0.74803149606299213" top="0.98425196850393704" bottom="0.98425196850393704" header="0" footer="0"/>
  <pageSetup paperSize="9" scale="51" fitToHeight="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3173AE0-6BF4-4A26-AC9D-D883C16EC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187603-E1DF-40ED-A8CE-010332182A79}">
  <ds:schemaRefs>
    <ds:schemaRef ds:uri="http://www.w3.org/XML/1998/namespace"/>
    <ds:schemaRef ds:uri="http://schemas.microsoft.com/office/2006/documentManagement/types"/>
    <ds:schemaRef ds:uri="http://purl.org/dc/dcmitype/"/>
    <ds:schemaRef ds:uri="829fe298-b51a-4ddb-9231-b6d9f99174b5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234e139-98e4-4c0e-a873-2c35232cb7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24</vt:i4>
      </vt:variant>
    </vt:vector>
  </HeadingPairs>
  <TitlesOfParts>
    <vt:vector size="57" baseType="lpstr">
      <vt:lpstr>Estado Situación</vt:lpstr>
      <vt:lpstr>Estado de Resultados</vt:lpstr>
      <vt:lpstr>A-SITUACION ANEXOS</vt:lpstr>
      <vt:lpstr>A-RESULTADOS ANEXOS</vt:lpstr>
      <vt:lpstr>NOTA 14-CAPITAL</vt:lpstr>
      <vt:lpstr>Cédula Nota 1</vt:lpstr>
      <vt:lpstr>Cédula Nota 2 </vt:lpstr>
      <vt:lpstr>Nota 3 Resumen</vt:lpstr>
      <vt:lpstr>NOTA 3-C-CONST </vt:lpstr>
      <vt:lpstr>NOTA 3-ANTIC COMP Y OTRAS</vt:lpstr>
      <vt:lpstr>NOTA 3-Intereses</vt:lpstr>
      <vt:lpstr>Nota 3 CxC Emplead</vt:lpstr>
      <vt:lpstr>NOTA 3-C X C</vt:lpstr>
      <vt:lpstr>NOTA 4  INVENTARIO</vt:lpstr>
      <vt:lpstr>NOTA 5  GPA</vt:lpstr>
      <vt:lpstr>NOTA 5-SEG PAG X ANT</vt:lpstr>
      <vt:lpstr>NOTA 5 - LIC MS 365 AMORTIZ</vt:lpstr>
      <vt:lpstr>NOTA 5 LICENCIAS JIRA</vt:lpstr>
      <vt:lpstr>NOTA 5 LIC ANTIDESASTRES</vt:lpstr>
      <vt:lpstr>NOTA 5 Licencias Adobe</vt:lpstr>
      <vt:lpstr>NOTA 6-DIVIDENDOS</vt:lpstr>
      <vt:lpstr>NOTA 7-AVANCES A FUTURAS CAPIT</vt:lpstr>
      <vt:lpstr>Tabacalera</vt:lpstr>
      <vt:lpstr>NOTA 8-MOBILIARIO Y EQUIPOS, NE</vt:lpstr>
      <vt:lpstr>NOTA 9-CEDULAS CxP PROVEEDORES </vt:lpstr>
      <vt:lpstr>NOTA 10-CEDULAS CxP CONTRATISTA</vt:lpstr>
      <vt:lpstr>NOTA 11-GASTOS PERSONAL X PAGAR</vt:lpstr>
      <vt:lpstr>NOTA 11-BONIFICACION</vt:lpstr>
      <vt:lpstr>NOTA 11-VACACIONES</vt:lpstr>
      <vt:lpstr>NOTA 11-REGALIA</vt:lpstr>
      <vt:lpstr>NOTA 12-RETENCIONES X PAGAR</vt:lpstr>
      <vt:lpstr>NOTA 13-OTRAS CXP</vt:lpstr>
      <vt:lpstr>Hoja5</vt:lpstr>
      <vt:lpstr>'A-RESULTADOS ANEXOS'!Área_de_impresión</vt:lpstr>
      <vt:lpstr>'A-SITUACION ANEXOS'!Área_de_impresión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11-GASTOS PERSONAL X PAGAR'!Área_de_impresión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4  INVENTARIO'!Área_de_impresión</vt:lpstr>
      <vt:lpstr>'NOTA 5  GPA'!Área_de_impresión</vt:lpstr>
      <vt:lpstr>'NOTA 5 -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'A-RESULTADOS ANEXOS'!Títulos_a_imprimir</vt:lpstr>
      <vt:lpstr>'A-SITUACION ANEXOS'!Títulos_a_imprimir</vt:lpstr>
      <vt:lpstr>'NOTA 11-VACACIONES'!Títulos_a_imprimir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Cuevas</cp:lastModifiedBy>
  <cp:revision/>
  <cp:lastPrinted>2024-12-10T15:05:31Z</cp:lastPrinted>
  <dcterms:created xsi:type="dcterms:W3CDTF">2008-09-03T15:34:54Z</dcterms:created>
  <dcterms:modified xsi:type="dcterms:W3CDTF">2024-12-17T13:48:55Z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